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6.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7.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8.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09"/>
  <workbookPr defaultThemeVersion="124226"/>
  <mc:AlternateContent xmlns:mc="http://schemas.openxmlformats.org/markup-compatibility/2006">
    <mc:Choice Requires="x15">
      <x15ac:absPath xmlns:x15ac="http://schemas.microsoft.com/office/spreadsheetml/2010/11/ac" url="/Users/Operations/Desktop/"/>
    </mc:Choice>
  </mc:AlternateContent>
  <xr:revisionPtr revIDLastSave="0" documentId="13_ncr:1_{2624E844-D217-F64D-9D51-700F3BF5462E}" xr6:coauthVersionLast="43" xr6:coauthVersionMax="43" xr10:uidLastSave="{00000000-0000-0000-0000-000000000000}"/>
  <bookViews>
    <workbookView xWindow="0" yWindow="460" windowWidth="16440" windowHeight="13960" xr2:uid="{00000000-000D-0000-FFFF-FFFF00000000}"/>
  </bookViews>
  <sheets>
    <sheet name="REPORT" sheetId="8" r:id="rId1"/>
    <sheet name="Building Operating Costs" sheetId="1" r:id="rId2"/>
    <sheet name="General Statistical Data" sheetId="2" r:id="rId3"/>
    <sheet name="Maintenance" sheetId="3" r:id="rId4"/>
    <sheet name="Cleaning and Waste" sheetId="4" r:id="rId5"/>
    <sheet name="Grounds Maintenance" sheetId="5" r:id="rId6"/>
    <sheet name="Energy" sheetId="7" r:id="rId7"/>
    <sheet name="Security" sheetId="6" r:id="rId8"/>
  </sheets>
  <externalReferences>
    <externalReference r:id="rId9"/>
  </externalReferenc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3" i="5" l="1"/>
  <c r="H23" i="5"/>
  <c r="G24" i="5"/>
  <c r="H24" i="5"/>
  <c r="H22" i="5"/>
  <c r="G22" i="5"/>
  <c r="H16" i="5"/>
  <c r="G16" i="5"/>
  <c r="K23" i="6"/>
  <c r="L23" i="6"/>
  <c r="K24" i="6"/>
  <c r="L24" i="6"/>
  <c r="L22" i="6"/>
  <c r="K22" i="6"/>
  <c r="G26" i="6"/>
  <c r="I22" i="6" s="1"/>
  <c r="G27" i="6"/>
  <c r="J23" i="6" s="1"/>
  <c r="J24" i="6"/>
  <c r="J22" i="6"/>
  <c r="I23" i="6"/>
  <c r="I24" i="6"/>
  <c r="N24" i="6"/>
  <c r="M24" i="6"/>
  <c r="N23" i="6"/>
  <c r="M23" i="6"/>
  <c r="N22" i="6"/>
  <c r="M22" i="6"/>
  <c r="N16" i="6"/>
  <c r="M16" i="6"/>
  <c r="L16" i="6"/>
  <c r="K16" i="6"/>
  <c r="J16" i="6"/>
  <c r="I16" i="6"/>
  <c r="R22" i="7"/>
  <c r="S22" i="7"/>
  <c r="R23" i="7"/>
  <c r="S23" i="7"/>
  <c r="S21" i="7"/>
  <c r="R21" i="7"/>
  <c r="N22" i="7"/>
  <c r="N23" i="7"/>
  <c r="N21" i="7"/>
  <c r="E23" i="7"/>
  <c r="Q16" i="7"/>
  <c r="P16" i="7"/>
  <c r="O16" i="7"/>
  <c r="N16" i="7"/>
  <c r="M16" i="7"/>
  <c r="L16" i="7"/>
  <c r="K16" i="7"/>
  <c r="J16" i="7"/>
  <c r="P17" i="4"/>
  <c r="Q17" i="4"/>
  <c r="P18" i="4"/>
  <c r="Q18" i="4"/>
  <c r="Q16" i="4"/>
  <c r="P16" i="4"/>
  <c r="N17" i="4"/>
  <c r="O17" i="4"/>
  <c r="N18" i="4"/>
  <c r="O18" i="4"/>
  <c r="O16" i="4"/>
  <c r="N16" i="4"/>
  <c r="L17" i="4"/>
  <c r="M17" i="4"/>
  <c r="L18" i="4"/>
  <c r="M18" i="4"/>
  <c r="M16" i="4"/>
  <c r="L16" i="4"/>
  <c r="Q10" i="4"/>
  <c r="P10" i="4"/>
  <c r="O10" i="4"/>
  <c r="N10" i="4"/>
  <c r="M10" i="4"/>
  <c r="L10" i="4"/>
  <c r="L10" i="3"/>
  <c r="K10" i="3"/>
  <c r="N10" i="3"/>
  <c r="M10" i="3"/>
  <c r="L17" i="2"/>
  <c r="M17" i="2"/>
  <c r="N17" i="2"/>
  <c r="O17" i="2"/>
  <c r="L18" i="2"/>
  <c r="M18" i="2"/>
  <c r="N18" i="2"/>
  <c r="O18" i="2"/>
  <c r="O16" i="2"/>
  <c r="N16" i="2"/>
  <c r="M16" i="2"/>
  <c r="L16" i="2"/>
  <c r="O10" i="2"/>
  <c r="N10" i="2"/>
  <c r="M10" i="2"/>
  <c r="L10" i="2"/>
  <c r="K10" i="2"/>
  <c r="J10" i="2"/>
  <c r="K17" i="2"/>
  <c r="K18" i="2"/>
  <c r="K16" i="2"/>
  <c r="J17" i="2"/>
  <c r="J18" i="2"/>
  <c r="J16" i="2"/>
  <c r="E20" i="2"/>
  <c r="I26" i="7"/>
  <c r="D26" i="7"/>
  <c r="C26" i="7"/>
  <c r="B26" i="7"/>
  <c r="D25" i="7"/>
  <c r="C25" i="7"/>
  <c r="B25" i="7"/>
  <c r="H23" i="6"/>
  <c r="F27" i="6"/>
  <c r="E27" i="6"/>
  <c r="D27" i="6"/>
  <c r="C27" i="6"/>
  <c r="B27" i="6"/>
  <c r="F26" i="6"/>
  <c r="E26" i="6"/>
  <c r="D26" i="6"/>
  <c r="C26" i="6"/>
  <c r="B26" i="6"/>
  <c r="E27" i="5"/>
  <c r="E26" i="5"/>
  <c r="I16" i="4"/>
  <c r="J16" i="4"/>
  <c r="I17" i="4"/>
  <c r="I20" i="4" s="1"/>
  <c r="J17" i="4"/>
  <c r="K16" i="4"/>
  <c r="K17" i="4"/>
  <c r="J20" i="4"/>
  <c r="H20" i="4"/>
  <c r="G20" i="4"/>
  <c r="F20" i="4"/>
  <c r="E20" i="4"/>
  <c r="D20" i="4"/>
  <c r="C20" i="4"/>
  <c r="B20" i="4"/>
  <c r="J19" i="4"/>
  <c r="H19" i="4"/>
  <c r="G19" i="4"/>
  <c r="F19" i="4"/>
  <c r="E19" i="4"/>
  <c r="D19" i="4"/>
  <c r="C19" i="4"/>
  <c r="B19" i="4"/>
  <c r="F21" i="3"/>
  <c r="E21" i="3"/>
  <c r="F20" i="3"/>
  <c r="E20" i="3"/>
  <c r="H21" i="2"/>
  <c r="F21" i="2"/>
  <c r="D21" i="2"/>
  <c r="C21" i="2"/>
  <c r="H20" i="2"/>
  <c r="F20" i="2"/>
  <c r="D20" i="2"/>
  <c r="C20" i="2"/>
  <c r="G23" i="1"/>
  <c r="I23" i="1"/>
  <c r="J23" i="1"/>
  <c r="F24" i="1"/>
  <c r="G24" i="1"/>
  <c r="I24" i="1"/>
  <c r="J24" i="1"/>
  <c r="E22" i="7"/>
  <c r="E26" i="7" s="1"/>
  <c r="I22" i="7"/>
  <c r="I23" i="7"/>
  <c r="I25" i="7" s="1"/>
  <c r="H22" i="7"/>
  <c r="H23" i="7"/>
  <c r="G22" i="7"/>
  <c r="G23" i="7"/>
  <c r="F22" i="7"/>
  <c r="F23" i="7"/>
  <c r="E24" i="6"/>
  <c r="H24" i="6" s="1"/>
  <c r="D24" i="5"/>
  <c r="F24" i="5" s="1"/>
  <c r="G17" i="4"/>
  <c r="D18" i="3"/>
  <c r="G18" i="3" s="1"/>
  <c r="J18" i="3" s="1"/>
  <c r="D23" i="6"/>
  <c r="B23" i="6"/>
  <c r="E23" i="6" s="1"/>
  <c r="D23" i="5"/>
  <c r="F23" i="5" s="1"/>
  <c r="G16" i="4"/>
  <c r="E16" i="4"/>
  <c r="B16" i="4"/>
  <c r="D17" i="3"/>
  <c r="G17" i="3" s="1"/>
  <c r="J17" i="3" s="1"/>
  <c r="I18" i="2"/>
  <c r="G18" i="2"/>
  <c r="E18" i="2"/>
  <c r="I17" i="2"/>
  <c r="G17" i="2"/>
  <c r="E17" i="2"/>
  <c r="K23" i="7" l="1"/>
  <c r="K21" i="7"/>
  <c r="K22" i="7"/>
  <c r="E25" i="7"/>
  <c r="F23" i="1"/>
  <c r="B23" i="1"/>
  <c r="D23" i="1" s="1"/>
  <c r="H23" i="1"/>
  <c r="B24" i="1"/>
  <c r="D24" i="1" s="1"/>
  <c r="H24" i="1"/>
  <c r="I19" i="4"/>
  <c r="G20" i="2"/>
  <c r="I18" i="3"/>
  <c r="C24" i="1" s="1"/>
  <c r="G23" i="6"/>
  <c r="I17" i="3"/>
  <c r="C23" i="1" s="1"/>
  <c r="H16" i="3"/>
  <c r="B1" i="7"/>
  <c r="B1" i="6"/>
  <c r="B1" i="5"/>
  <c r="B1" i="4"/>
  <c r="B1" i="3"/>
  <c r="C16" i="3"/>
  <c r="D16" i="3"/>
  <c r="G16" i="3" s="1"/>
  <c r="B16" i="3"/>
  <c r="B22" i="5"/>
  <c r="D22" i="5" s="1"/>
  <c r="F22" i="5" s="1"/>
  <c r="C22" i="5"/>
  <c r="B22" i="3"/>
  <c r="D22" i="3" s="1"/>
  <c r="G22" i="3" s="1"/>
  <c r="C22" i="3"/>
  <c r="J22" i="1"/>
  <c r="D27" i="7"/>
  <c r="C27" i="7"/>
  <c r="I27" i="7"/>
  <c r="B27" i="7"/>
  <c r="F28" i="6"/>
  <c r="D28" i="6"/>
  <c r="C28" i="6"/>
  <c r="B28" i="6"/>
  <c r="E28" i="5"/>
  <c r="C28" i="5"/>
  <c r="B28" i="5"/>
  <c r="H21" i="4"/>
  <c r="F21" i="4"/>
  <c r="E21" i="4"/>
  <c r="D21" i="4"/>
  <c r="C21" i="4"/>
  <c r="G21" i="4"/>
  <c r="B21" i="4"/>
  <c r="H22" i="3"/>
  <c r="F22" i="3"/>
  <c r="E22" i="3"/>
  <c r="H22" i="2"/>
  <c r="F27" i="7"/>
  <c r="F22" i="2"/>
  <c r="D22" i="2"/>
  <c r="C22" i="2"/>
  <c r="G22" i="2" s="1"/>
  <c r="E16" i="2"/>
  <c r="G21" i="7"/>
  <c r="I21" i="7"/>
  <c r="H21" i="7"/>
  <c r="F21" i="7"/>
  <c r="E21" i="7"/>
  <c r="G15" i="4"/>
  <c r="G22" i="1"/>
  <c r="I16" i="2"/>
  <c r="G16" i="2"/>
  <c r="G21" i="2" s="1"/>
  <c r="E27" i="7"/>
  <c r="E28" i="6"/>
  <c r="G28" i="6"/>
  <c r="H28" i="6"/>
  <c r="I15" i="4"/>
  <c r="K15" i="4"/>
  <c r="K19" i="4" s="1"/>
  <c r="J15" i="4"/>
  <c r="E22" i="6"/>
  <c r="G22" i="6"/>
  <c r="J21" i="4"/>
  <c r="K21" i="4"/>
  <c r="I21" i="4"/>
  <c r="I22" i="1"/>
  <c r="G27" i="7"/>
  <c r="H22" i="6"/>
  <c r="H27" i="7"/>
  <c r="D28" i="5" l="1"/>
  <c r="F28" i="5" s="1"/>
  <c r="J21" i="7"/>
  <c r="J23" i="7"/>
  <c r="J22" i="7"/>
  <c r="E23" i="1"/>
  <c r="G21" i="3"/>
  <c r="G20" i="3"/>
  <c r="J16" i="3"/>
  <c r="J20" i="3" s="1"/>
  <c r="F22" i="1"/>
  <c r="F26" i="1" s="1"/>
  <c r="J22" i="3"/>
  <c r="B28" i="1"/>
  <c r="D28" i="1" s="1"/>
  <c r="I22" i="3"/>
  <c r="C28" i="1" s="1"/>
  <c r="C21" i="3"/>
  <c r="C20" i="3"/>
  <c r="D20" i="3"/>
  <c r="D21" i="3"/>
  <c r="B21" i="3"/>
  <c r="B20" i="3"/>
  <c r="E22" i="2"/>
  <c r="G26" i="7"/>
  <c r="G25" i="7"/>
  <c r="E21" i="2"/>
  <c r="K20" i="4"/>
  <c r="H27" i="6"/>
  <c r="H26" i="6"/>
  <c r="I20" i="2"/>
  <c r="I21" i="2"/>
  <c r="I22" i="2"/>
  <c r="F25" i="7"/>
  <c r="F26" i="7"/>
  <c r="H26" i="7"/>
  <c r="H25" i="7"/>
  <c r="E24" i="1"/>
  <c r="F27" i="5"/>
  <c r="F26" i="5"/>
  <c r="B27" i="5"/>
  <c r="B26" i="5"/>
  <c r="H22" i="1"/>
  <c r="H26" i="1" s="1"/>
  <c r="C26" i="5"/>
  <c r="C27" i="5"/>
  <c r="D27" i="5"/>
  <c r="D26" i="5"/>
  <c r="B22" i="1"/>
  <c r="B27" i="1" s="1"/>
  <c r="J21" i="3"/>
  <c r="I16" i="3"/>
  <c r="H21" i="3"/>
  <c r="H20" i="3"/>
  <c r="H27" i="1"/>
  <c r="I26" i="1"/>
  <c r="I27" i="1"/>
  <c r="G26" i="1"/>
  <c r="G27" i="1"/>
  <c r="J26" i="1"/>
  <c r="J27" i="1"/>
  <c r="E28" i="1"/>
  <c r="C22" i="1"/>
  <c r="L22" i="7" l="1"/>
  <c r="L21" i="7"/>
  <c r="L23" i="7"/>
  <c r="P23" i="7"/>
  <c r="P21" i="7"/>
  <c r="P22" i="7"/>
  <c r="O23" i="7"/>
  <c r="O21" i="7"/>
  <c r="O22" i="7"/>
  <c r="Q23" i="7"/>
  <c r="Q22" i="7"/>
  <c r="Q21" i="7"/>
  <c r="M21" i="7"/>
  <c r="M22" i="7"/>
  <c r="M23" i="7"/>
  <c r="M18" i="3"/>
  <c r="M16" i="3"/>
  <c r="M17" i="3"/>
  <c r="N17" i="3"/>
  <c r="N18" i="3"/>
  <c r="N16" i="3"/>
  <c r="F27" i="1"/>
  <c r="D22" i="1"/>
  <c r="D27" i="1" s="1"/>
  <c r="E22" i="1"/>
  <c r="E27" i="1" s="1"/>
  <c r="B26" i="1"/>
  <c r="I21" i="3"/>
  <c r="I20" i="3"/>
  <c r="E26" i="1"/>
  <c r="C26" i="1"/>
  <c r="C27" i="1"/>
  <c r="L18" i="3" l="1"/>
  <c r="L16" i="3"/>
  <c r="L17" i="3"/>
  <c r="K18" i="3"/>
  <c r="K16" i="3"/>
  <c r="K17" i="3"/>
  <c r="D2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tc={10DDB6B9-EEB1-4FDB-A0B5-A497FCBEC2B4}</author>
  </authors>
  <commentList>
    <comment ref="C18" authorId="0" shapeId="0" xr:uid="{10DDB6B9-EEB1-4FDB-A0B5-A497FCBEC2B4}">
      <text>
        <t>[Threaded comment]
Your version of Excel allows you to read this threaded comment; however, any edits to it will get removed if the file is opened in a newer version of Excel. Learn more: https://go.microsoft.com/fwlink/?linkid=870924
Comment:
    Data from 2016</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tc={4A7D49D3-5838-4542-BBD3-ED2E4D146FD6}</author>
    <author>tc={58B909C7-6716-4E7F-B7BC-0E093924C9FD}</author>
    <author>tc={33849520-2A41-4D4F-B691-FBCF4E56606F}</author>
  </authors>
  <commentList>
    <comment ref="B23" authorId="0" shapeId="0" xr:uid="{4A7D49D3-5838-4542-BBD3-ED2E4D146FD6}">
      <text>
        <t>[Threaded comment]
Your version of Excel allows you to read this threaded comment; however, any edits to it will get removed if the file is opened in a newer version of Excel. Learn more: https://go.microsoft.com/fwlink/?linkid=870924
Comment:
    2016 value was 559720</t>
      </text>
    </comment>
    <comment ref="C23" authorId="1" shapeId="0" xr:uid="{58B909C7-6716-4E7F-B7BC-0E093924C9FD}">
      <text>
        <t>[Threaded comment]
Your version of Excel allows you to read this threaded comment; however, any edits to it will get removed if the file is opened in a newer version of Excel. Learn more: https://go.microsoft.com/fwlink/?linkid=870924
Comment:
    2016 value was 79807570</t>
      </text>
    </comment>
    <comment ref="D23" authorId="2" shapeId="0" xr:uid="{33849520-2A41-4D4F-B691-FBCF4E56606F}">
      <text>
        <t>[Threaded comment]
Your version of Excel allows you to read this threaded comment; however, any edits to it will get removed if the file is opened in a newer version of Excel. Learn more: https://go.microsoft.com/fwlink/?linkid=870924
Comment:
    Seems too low compared to 2016 value of 519353</t>
      </text>
    </comment>
  </commentList>
</comments>
</file>

<file path=xl/sharedStrings.xml><?xml version="1.0" encoding="utf-8"?>
<sst xmlns="http://schemas.openxmlformats.org/spreadsheetml/2006/main" count="365" uniqueCount="213">
  <si>
    <t>GENERAL STATISTICAL DATA</t>
  </si>
  <si>
    <t>Name of Institution</t>
  </si>
  <si>
    <t>Campus</t>
  </si>
  <si>
    <t>Gross Floor Area Buildings (GFA)</t>
  </si>
  <si>
    <t>Asset Replacement Value Buildings (ARV)</t>
  </si>
  <si>
    <r>
      <t>Replacement cost of Buildings R/m</t>
    </r>
    <r>
      <rPr>
        <b/>
        <vertAlign val="superscript"/>
        <sz val="10"/>
        <rFont val="Arial"/>
        <family val="2"/>
      </rPr>
      <t>2</t>
    </r>
    <r>
      <rPr>
        <b/>
        <sz val="10"/>
        <rFont val="Arial"/>
        <family val="2"/>
      </rPr>
      <t xml:space="preserve"> buildings</t>
    </r>
  </si>
  <si>
    <t>Total Equivalent Full-time Students (EFTS)</t>
  </si>
  <si>
    <t>GFA provided per EFTS</t>
  </si>
  <si>
    <r>
      <t>m</t>
    </r>
    <r>
      <rPr>
        <vertAlign val="superscript"/>
        <sz val="10"/>
        <rFont val="Arial"/>
        <family val="2"/>
      </rPr>
      <t>2</t>
    </r>
    <r>
      <rPr>
        <sz val="10"/>
        <rFont val="Arial"/>
        <family val="2"/>
      </rPr>
      <t xml:space="preserve"> GFA</t>
    </r>
  </si>
  <si>
    <t>%</t>
  </si>
  <si>
    <t>R</t>
  </si>
  <si>
    <r>
      <t>R/m</t>
    </r>
    <r>
      <rPr>
        <vertAlign val="superscript"/>
        <sz val="10"/>
        <rFont val="Arial"/>
        <family val="2"/>
      </rPr>
      <t>2</t>
    </r>
    <r>
      <rPr>
        <sz val="10"/>
        <rFont val="Arial"/>
        <family val="2"/>
      </rPr>
      <t xml:space="preserve"> GFA</t>
    </r>
  </si>
  <si>
    <t>No.</t>
  </si>
  <si>
    <r>
      <t>m</t>
    </r>
    <r>
      <rPr>
        <vertAlign val="superscript"/>
        <sz val="10"/>
        <rFont val="Arial"/>
        <family val="2"/>
      </rPr>
      <t>2</t>
    </r>
    <r>
      <rPr>
        <sz val="10"/>
        <rFont val="Arial"/>
        <family val="2"/>
      </rPr>
      <t xml:space="preserve"> / EFTS</t>
    </r>
  </si>
  <si>
    <t>The name of your institution e.g. University of Pretoria</t>
  </si>
  <si>
    <t>Indicate whether this figures represent the aggregate of all your campuses (preferably) or name of separate campus</t>
  </si>
  <si>
    <t>AFA/GFA</t>
  </si>
  <si>
    <r>
      <t>m</t>
    </r>
    <r>
      <rPr>
        <vertAlign val="superscript"/>
        <sz val="10"/>
        <rFont val="Arial"/>
        <family val="2"/>
      </rPr>
      <t>2</t>
    </r>
    <r>
      <rPr>
        <sz val="10"/>
        <rFont val="Arial"/>
        <family val="2"/>
      </rPr>
      <t xml:space="preserve"> AFA</t>
    </r>
  </si>
  <si>
    <t>Assignable Floor Area Buildings (AFA)</t>
  </si>
  <si>
    <t>Calculated field. Do not fill in.</t>
  </si>
  <si>
    <t>Use the standard HEMIS definition for Equivalent Full-time Students. Only include contact students and exclude distance students.</t>
  </si>
  <si>
    <t>MAINTENANCE (Preventive and Corrective Costs)</t>
  </si>
  <si>
    <t>Trade staff wages</t>
  </si>
  <si>
    <t>Total staff salaries and wages</t>
  </si>
  <si>
    <t>Materials and Contracts</t>
  </si>
  <si>
    <t>Total Maintenance Expenditure</t>
  </si>
  <si>
    <t>Area Maintained from Central Funds</t>
  </si>
  <si>
    <t>Cost of Maintenance per m2 GFA</t>
  </si>
  <si>
    <t>Cost of Maintenance per EFTS</t>
  </si>
  <si>
    <t>R/EFTS</t>
  </si>
  <si>
    <t>CLEANING AND WASTE MANAGEMENT SERVICES</t>
  </si>
  <si>
    <t>Cleaning Materials</t>
  </si>
  <si>
    <t>Cleaning Contracts Buildings</t>
  </si>
  <si>
    <t>General Waste Removal</t>
  </si>
  <si>
    <t>Contaminated Waste Removal</t>
  </si>
  <si>
    <t>Total Cleaning Expenditure</t>
  </si>
  <si>
    <t>Area Cleaned from Central Funds</t>
  </si>
  <si>
    <t>Cost of Cleaning Buildings</t>
  </si>
  <si>
    <t>Total Cleaning Cost R/GFA</t>
  </si>
  <si>
    <t>R / EFTS</t>
  </si>
  <si>
    <t>GROUNDS MAINTENANCE</t>
  </si>
  <si>
    <t>Total Staff Salaries and Wages</t>
  </si>
  <si>
    <t>Total Grounds Maintenance Expenditure</t>
  </si>
  <si>
    <t>Maintenance Expenditure per Hectare</t>
  </si>
  <si>
    <t>SECURITY</t>
  </si>
  <si>
    <t>Hectares</t>
  </si>
  <si>
    <t>Expenditure on Security Contracts</t>
  </si>
  <si>
    <t>Other Security Costs</t>
  </si>
  <si>
    <t>Total Security Expenditure</t>
  </si>
  <si>
    <t>GFA Under Security Patrol</t>
  </si>
  <si>
    <t>Cost of Security per m2 GFA</t>
  </si>
  <si>
    <t>Cost of Security per EFTS</t>
  </si>
  <si>
    <t>ENERGY</t>
  </si>
  <si>
    <t>Annual Consumption in Gigajoules</t>
  </si>
  <si>
    <t>Annual Cost of Energy Purchased</t>
  </si>
  <si>
    <t>Total GFA Serviced with Energy</t>
  </si>
  <si>
    <t>GJ</t>
  </si>
  <si>
    <r>
      <t>Energy Consumption per m</t>
    </r>
    <r>
      <rPr>
        <b/>
        <vertAlign val="superscript"/>
        <sz val="10"/>
        <rFont val="Arial"/>
        <family val="2"/>
      </rPr>
      <t>2</t>
    </r>
  </si>
  <si>
    <r>
      <t>GJ/m</t>
    </r>
    <r>
      <rPr>
        <vertAlign val="superscript"/>
        <sz val="10"/>
        <rFont val="Arial"/>
        <family val="2"/>
      </rPr>
      <t>2</t>
    </r>
    <r>
      <rPr>
        <sz val="10"/>
        <rFont val="Arial"/>
        <family val="2"/>
      </rPr>
      <t xml:space="preserve"> GFA</t>
    </r>
  </si>
  <si>
    <t>Energy Consumption per EFTS</t>
  </si>
  <si>
    <t>GJ/EFTS</t>
  </si>
  <si>
    <r>
      <t>Energy Costs per m</t>
    </r>
    <r>
      <rPr>
        <b/>
        <vertAlign val="superscript"/>
        <sz val="10"/>
        <rFont val="Arial"/>
        <family val="2"/>
      </rPr>
      <t>2</t>
    </r>
    <r>
      <rPr>
        <b/>
        <sz val="10"/>
        <rFont val="Arial"/>
        <family val="2"/>
      </rPr>
      <t xml:space="preserve"> (GFA)</t>
    </r>
  </si>
  <si>
    <t>Energy Costs per EFTS</t>
  </si>
  <si>
    <t>Average Costs per kWHr</t>
  </si>
  <si>
    <t>cents/kWHr</t>
  </si>
  <si>
    <t>Indicate whether this figures represent the aggregate of all your campuses (preferably) or name of separate campus. If not aggregate, please fill in a survey per campus.</t>
  </si>
  <si>
    <t>Include costs of professional and administrative staff directly and indirectly involved in the maintenance operation.  Where a staff member spends only part of his or her time on maintenance activities, please estimate &amp; apportion their time and costs accordingly. Include a provision for FM management overhead.</t>
  </si>
  <si>
    <t>Include all costs associated with maintenance trades staff working on maintenance activities only.  Where maintenance staff also perform "new work", this portion should be excluded from the maintenance costs reported.</t>
  </si>
  <si>
    <t>Cost of maintenance projects on capital budget</t>
  </si>
  <si>
    <t>Spent on maintenance projects from capital budget. Exclude budgets spent on new work.</t>
  </si>
  <si>
    <t>Cannot exceed the GFA in Col 3.</t>
  </si>
  <si>
    <t>Include costs of professional and administrative staff directly and indirectly involved in the cleaning and waste management operations.  Where a staff member spends only part of his or her time on these activities, please estimate &amp; apportion their time and costs accordingly. Include a provision for FM management overhead.</t>
  </si>
  <si>
    <r>
      <t>General instructions:</t>
    </r>
    <r>
      <rPr>
        <sz val="10"/>
        <rFont val="Arial Narrow"/>
        <family val="2"/>
      </rPr>
      <t xml:space="preserve"> </t>
    </r>
  </si>
  <si>
    <t xml:space="preserve">3) You may include or exclude student housing (residences) from your figures, as long as you do it consistently. If you include residences in your GFA, you must also include it in your AFA and ARV, as well is in the relevant data fields associated with providing services to student housing. Thus if you maintain your residences but don't clean them, include the residences in your GFA for Maintenance, but exclude it in your GFA for Cleaning and Waste Removal. </t>
  </si>
  <si>
    <t>Include costs of professional and administrative staff directly and indirectly involved in the grounds maintenance operation.  Where a staff member spends only part of his or her time on maintenance activities, please estimate &amp; apportion their time and costs accordingly. Include a provision for FM management overhead.</t>
  </si>
  <si>
    <t>Include the costs of cleaning materials used by your cleaning staff on all cleaning related activities plus materials provided to external service providers.</t>
  </si>
  <si>
    <t>Payments made to external service providers.</t>
  </si>
  <si>
    <t>Include the costs of materials used by your grounds maintenance staff on these activities plus payments made to external service providers.</t>
  </si>
  <si>
    <t>BUILDING OPERATING COSTS</t>
  </si>
  <si>
    <t>Total Operating Costs</t>
  </si>
  <si>
    <r>
      <t>Operating Costs per m</t>
    </r>
    <r>
      <rPr>
        <b/>
        <vertAlign val="superscript"/>
        <sz val="10"/>
        <rFont val="Arial"/>
        <family val="2"/>
      </rPr>
      <t>2</t>
    </r>
    <r>
      <rPr>
        <b/>
        <sz val="10"/>
        <rFont val="Arial"/>
        <family val="2"/>
      </rPr>
      <t xml:space="preserve"> (GFA)</t>
    </r>
  </si>
  <si>
    <t>Operating Costs per EFTS</t>
  </si>
  <si>
    <t>Operating Costs as % of ARV</t>
  </si>
  <si>
    <t>% ARV</t>
  </si>
  <si>
    <t>Hectares  Maintained from Central Funds</t>
  </si>
  <si>
    <t>Include costs of professional and administrative staff directly and indirectly involved in the security operation.  Where a staff member spends only part of his or her time on security activities, please estimate &amp; apportion their time and costs accordingly. Include a provision for FM management overhead.</t>
  </si>
  <si>
    <t>Only use the Gross Floor Area of the buildings patrolled, not the area of all grounds patrolled. This figure can not exceed the GFA in Col 3.</t>
  </si>
  <si>
    <t>Ensure GFA figure is consistent with definitions provided in Columns 41 and 42. Cannot exceed the GFA in Col 3.</t>
  </si>
  <si>
    <t>The all inclusive total floor area of all floors measured over the outer walls of the building. Includes all assignable and non-assignable areas.</t>
  </si>
  <si>
    <t>AFA = GFA - non-assignable floor area (NFA): NFA includes mechanical floor areas, custodial floor areas, circulation floor areas etc</t>
  </si>
  <si>
    <t>The total cost to erect a similar building at today's cost. Includes building cost, professional fees, municipal costs and fixed equipment.</t>
  </si>
  <si>
    <t>Include the costs of materials (e.g. paint, timber, hardware, lamps, plumbing supplies, etc) used by your maintenance staff on preventive and corrective maintenance activities plus payments made to external service providers (e.g. air-conditioning, lift, electrical, plumbing contractors, etc).</t>
  </si>
  <si>
    <t>The total cost of general waste removal, either internally or by waste removal contractor.</t>
  </si>
  <si>
    <t>The total cost of contaminated waste removal, either internally or by waste removal contractor. Include pathological and chemical waste removal.</t>
  </si>
  <si>
    <t>Total Cleaning Cost R/EFTS</t>
  </si>
  <si>
    <t>Effective area of grounds maintained with these funds. This may include the area of your landscaped gardens and sports fields if applicable.</t>
  </si>
  <si>
    <t>The total annual energy consumption of your Institution that relates to the GFA in column 43. Only include by facilities that are included in GFA in column 43.</t>
  </si>
  <si>
    <t>The total annual cost of energy purchased by your institution that relates to the GFA in column 43. Only include cost to facilities that are included in GFA in column 43.</t>
  </si>
  <si>
    <r>
      <t xml:space="preserve">1) All Higher Educations Institutions in South Africa annually submit a HEMIS survey. In this benchmark survey, you are required to use the </t>
    </r>
    <r>
      <rPr>
        <b/>
        <sz val="10"/>
        <rFont val="Arial Narrow"/>
        <family val="2"/>
      </rPr>
      <t>HEMIS definitions</t>
    </r>
    <r>
      <rPr>
        <sz val="10"/>
        <rFont val="Arial Narrow"/>
        <family val="2"/>
      </rPr>
      <t xml:space="preserve"> as indicated. This will ensure that all participating institutions use the same definitions for calculations. The HEMIS definitions are applicable to </t>
    </r>
    <r>
      <rPr>
        <b/>
        <sz val="10"/>
        <rFont val="Arial Narrow"/>
        <family val="2"/>
      </rPr>
      <t>GFA, AFA, ARV and EFTS</t>
    </r>
    <r>
      <rPr>
        <sz val="10"/>
        <rFont val="Arial Narrow"/>
        <family val="2"/>
      </rPr>
      <t xml:space="preserve">. </t>
    </r>
  </si>
  <si>
    <r>
      <t>4) Start on the tab "</t>
    </r>
    <r>
      <rPr>
        <b/>
        <sz val="10"/>
        <rFont val="Arial Narrow"/>
        <family val="2"/>
      </rPr>
      <t>General Statistical Data</t>
    </r>
    <r>
      <rPr>
        <sz val="10"/>
        <rFont val="Arial Narrow"/>
        <family val="2"/>
      </rPr>
      <t xml:space="preserve">" and work your way through all the tabs. Ensure that you fill in values in </t>
    </r>
    <r>
      <rPr>
        <b/>
        <sz val="10"/>
        <rFont val="Arial Narrow"/>
        <family val="2"/>
      </rPr>
      <t>all six tabs</t>
    </r>
    <r>
      <rPr>
        <sz val="10"/>
        <rFont val="Arial Narrow"/>
        <family val="2"/>
      </rPr>
      <t xml:space="preserve">. Don't despair, there are only 27 data fields to fill in! </t>
    </r>
  </si>
  <si>
    <t>6) Remember, the name of your institution will not be revealed to other participants, unless you give your explicit permission. Please consider to participate, even if you have already indicated your inability to do so. The more participants, the higher the validity of the project.</t>
  </si>
  <si>
    <t xml:space="preserve">Welcome to the 2011 HEFMA Benchmark Survey. This survey is has been adapted for South African higher education institutions, and is a simplified version of the TEFMA process. Please fill in only the green cells on each tab of the spreadsheet. Depending on your screen size, you may be required to scroll through the tabs at the bottom of the spreadsheet. Totals are calculated in the yellow cells and carried forward to this page to show your Institution's total building  operating costs.. </t>
  </si>
  <si>
    <r>
      <t xml:space="preserve">2) Only fill in the </t>
    </r>
    <r>
      <rPr>
        <b/>
        <sz val="10"/>
        <rFont val="Arial Narrow"/>
        <family val="2"/>
      </rPr>
      <t>green</t>
    </r>
    <r>
      <rPr>
        <sz val="10"/>
        <rFont val="Arial Narrow"/>
        <family val="2"/>
      </rPr>
      <t xml:space="preserve"> cells. </t>
    </r>
    <r>
      <rPr>
        <b/>
        <sz val="10"/>
        <rFont val="Arial Narrow"/>
        <family val="2"/>
      </rPr>
      <t>Yellow</t>
    </r>
    <r>
      <rPr>
        <sz val="10"/>
        <rFont val="Arial Narrow"/>
        <family val="2"/>
      </rPr>
      <t xml:space="preserve"> cells are calculated by the computer. </t>
    </r>
    <r>
      <rPr>
        <b/>
        <sz val="10"/>
        <rFont val="Arial Narrow"/>
        <family val="2"/>
      </rPr>
      <t>Blue</t>
    </r>
    <r>
      <rPr>
        <sz val="10"/>
        <rFont val="Arial Narrow"/>
        <family val="2"/>
      </rPr>
      <t xml:space="preserve"> cells are the RSA 2009 figures (averages or totals)  to provide you with an order of magnitude to use as a  reference.  </t>
    </r>
  </si>
  <si>
    <t>RSA 2009 Mean/Total</t>
  </si>
  <si>
    <t>Aggregate of all Campuses</t>
  </si>
  <si>
    <t>Maintenance Costs as % of ARV</t>
  </si>
  <si>
    <t>not surveyed</t>
  </si>
  <si>
    <t>Cleaning &amp; Waste as % of ARV</t>
  </si>
  <si>
    <t>Grounds Maintenance as % of ARV</t>
  </si>
  <si>
    <t>Security as % of ARV</t>
  </si>
  <si>
    <t>Energy as % of ARV</t>
  </si>
  <si>
    <r>
      <t xml:space="preserve">5) Save this spreadsheet as </t>
    </r>
    <r>
      <rPr>
        <b/>
        <sz val="10"/>
        <rFont val="Arial Narrow"/>
        <family val="2"/>
      </rPr>
      <t>YourUniversityBenchmark.xls</t>
    </r>
    <r>
      <rPr>
        <sz val="10"/>
        <rFont val="Arial Narrow"/>
        <family val="2"/>
      </rPr>
      <t xml:space="preserve">. When you are done, please email this spreadsheet with your results back to andre.theys@uct.ac.za. All questionnaires must be submitted back before </t>
    </r>
    <r>
      <rPr>
        <b/>
        <sz val="10"/>
        <rFont val="Arial Narrow"/>
        <family val="2"/>
      </rPr>
      <t>3rd September 2012</t>
    </r>
    <r>
      <rPr>
        <sz val="10"/>
        <rFont val="Arial Narrow"/>
        <family val="2"/>
      </rPr>
      <t>. On completion of the survey and analysis, the final report (in PDF format), will be distributed electronically to all HEFMA members.</t>
    </r>
  </si>
  <si>
    <t>Stellenbosch University</t>
  </si>
  <si>
    <t>HEFMA BENCHMARK SURVEY - Period: 1 January 2016 - 31 December 2016</t>
  </si>
  <si>
    <t>University of Pretoria</t>
  </si>
  <si>
    <t>University of South Africa</t>
  </si>
  <si>
    <t>Median</t>
  </si>
  <si>
    <t>Mean</t>
  </si>
  <si>
    <t>Maintenance</t>
  </si>
  <si>
    <t>Cleaning &amp; Waste</t>
  </si>
  <si>
    <t>Grounds Maintenance</t>
  </si>
  <si>
    <t>Security</t>
  </si>
  <si>
    <t>Energy</t>
  </si>
  <si>
    <t>Dear HEFMA Colleagues</t>
  </si>
  <si>
    <t>2017 Benchmark Report</t>
  </si>
  <si>
    <t>The 2017 Benchmark survey attracted a very small response despite numerous attempts to remind members to participate. This should be investigated to determine the push and pull factors from motivation to participate, the value add and the constraints that prevent participation.</t>
  </si>
  <si>
    <t>At the start of 2018 the benchmark forms were circulated to IF members and we initially received three responses. The return dates were extended to allow for a larger participation and time so that IF members could engage internal stakeholders such as finance. These stakeholders are the custodians of critical information required for the benchmark report. We also found that certain IF members left these institutions or not participating in all the activities of the HEFMA association.</t>
  </si>
  <si>
    <t xml:space="preserve">In the final analysis the question remains, what is the value to our members and stakeholders including the Department of Higher Education and Training and the value to service providers and including bulk services providers such as Municipalities’ etc.  </t>
  </si>
  <si>
    <t>In conclusion Facility Managers are the custodians of all the infrastructural assets which includes building, plant and equipment. The value of the Benchmark report to HEFMA members could demonstrate and highlight those institutions that are high performers and how best to employ our assets/buildings and portfolios in support of universities care function that of Teaching Learning and Research.</t>
  </si>
  <si>
    <r>
      <t xml:space="preserve"> </t>
    </r>
    <r>
      <rPr>
        <u/>
        <sz val="11"/>
        <rFont val="Calibri"/>
        <family val="2"/>
      </rPr>
      <t>Result of 2017 Survey</t>
    </r>
  </si>
  <si>
    <r>
      <t>The results of the 10</t>
    </r>
    <r>
      <rPr>
        <vertAlign val="superscript"/>
        <sz val="11"/>
        <rFont val="Calibri"/>
        <family val="2"/>
      </rPr>
      <t>th</t>
    </r>
    <r>
      <rPr>
        <sz val="11"/>
        <rFont val="Calibri"/>
        <family val="2"/>
      </rPr>
      <t xml:space="preserve"> HEFMA 2017 Benchmark report from the three institutions that participated. This report found that there were two institution that returned forms that were incomplete and these could not be included in this report. I also take this opportunity to thanks to the five participating institutions who take out valuable time out of your busy day to complete the survey questionnaire.</t>
    </r>
  </si>
  <si>
    <t xml:space="preserve">In 2016/2017 the effects of the insourcing was starting to settle and the full impact and the unintended consequences were being appreciated and quantified. While not yet reflected in this survey we may need to expand the survey as institutions have taken on services previously provided by service providers and transport is one such service. The other impact was the enlarge workforce and additional cost of related services such as office space, Human Resources, procurement of uniforms and equipment etc. We will only be able to appreciate the full impact with more institutions participating and providing information that will inform the actual cost of insourcing.  </t>
  </si>
  <si>
    <t>These areas are based on the valuable TEFMA benchmark report and cover;</t>
  </si>
  <si>
    <t xml:space="preserve">Introduction </t>
  </si>
  <si>
    <t>UNISA</t>
  </si>
  <si>
    <t>UNISA appears to be the most cost effective although it should be noted that they are a distance learning institution with no residences and no fulltime lecture halls for the full complement of students. There are three large campuses in Pretoria namely the Main campus in Muckleneuk campus, Science campus and Sunnyside campus. There are also a number of smaller satellites in major city such as Johannesburg, Durban, Pietermaritzburg, Cape Town, Polokwane, Nelspruit, Nelson Mandela Bay and East London etc. The main campus serves as the administrative head office for distance learning comprising of a large library, few lecture theatres and large administrative complex and offices. The institution serve over 400 000 students in 2017</t>
  </si>
  <si>
    <t xml:space="preserve">University of Pretoria </t>
  </si>
  <si>
    <t>Pretoria is in the centre of the country, Gauteng Province with high temperature and a large residential student population. University of Pretoria is concentrated on six large sites with a number of smaller satellite campuses outside Pretoria. The institution serves over 47 000 students with a large number part time study.</t>
  </si>
  <si>
    <t>The university has a footprint in three urban areas with the main campus in Stellenbosch Municipality, two campuses in the City of Cape Town and a small campus in Worcester. The Stellenbosch campus was developed as an integral part of the town. The Institution serves an estimated 28 000 students.</t>
  </si>
  <si>
    <r>
      <t>1.</t>
    </r>
    <r>
      <rPr>
        <b/>
        <sz val="7"/>
        <rFont val="Times New Roman"/>
        <family val="1"/>
      </rPr>
      <t xml:space="preserve">     </t>
    </r>
    <r>
      <rPr>
        <b/>
        <sz val="11"/>
        <rFont val="Calibri"/>
        <family val="2"/>
      </rPr>
      <t>Building Operating Costs</t>
    </r>
  </si>
  <si>
    <t>The operating cost is reflective of the type and size of the institution while two institution are sited in Gauteng province and one in the Western Cape. Pretoria is one of the larger residential universities equal to Universities of Johannesburg, Tshwane University of Technology.</t>
  </si>
  <si>
    <t>Stellenbosch is equal to UCT, WITS and University of Free State.</t>
  </si>
  <si>
    <t xml:space="preserve">UNISA is the exception as it is neither a residential university and serves a much larger students population in a multi-campus model.  </t>
  </si>
  <si>
    <r>
      <t>2.</t>
    </r>
    <r>
      <rPr>
        <b/>
        <sz val="7"/>
        <rFont val="Times New Roman"/>
        <family val="1"/>
      </rPr>
      <t xml:space="preserve">     </t>
    </r>
    <r>
      <rPr>
        <b/>
        <sz val="11"/>
        <rFont val="Calibri"/>
        <family val="2"/>
      </rPr>
      <t>Building Maintenance (preventative and Corrective costs)</t>
    </r>
  </si>
  <si>
    <t>The size, age, condition and the Institution’s approach to preserving the assets in large determines the size of spend on all infrastructural asset across the portfolio. While both Pretoria and Stellenbosch has a number of listed building in the portfolio.</t>
  </si>
  <si>
    <t>UNISA has a relative young portfolio with the main campus being completed in the early 1970‘s and most other sites occupied in the 1980’s, 1990’s and later.</t>
  </si>
  <si>
    <t xml:space="preserve"> Stellenbosch by large has the most listed and old buildings in their portfolio this impacts on the maintenance spend. While the institution invest on planned maintenance and building upgrades to preserve the asset in an effort to ensure the functional use in support of their core business that of teaching and learning and research.    </t>
  </si>
  <si>
    <r>
      <t>3.</t>
    </r>
    <r>
      <rPr>
        <b/>
        <sz val="7"/>
        <rFont val="Times New Roman"/>
        <family val="1"/>
      </rPr>
      <t xml:space="preserve">     </t>
    </r>
    <r>
      <rPr>
        <b/>
        <sz val="11"/>
        <rFont val="Calibri"/>
        <family val="2"/>
      </rPr>
      <t>Grounds maintenance</t>
    </r>
  </si>
  <si>
    <t>The institution has large campuses located on specific sites and has limited grounds with no residential component or no large sports complex.</t>
  </si>
  <si>
    <t>Pretoria University</t>
  </si>
  <si>
    <t xml:space="preserve">Two campus in Hatfield and the Sports complex, Faculty of Education campus in Groenkloof along with the Faculty of Veterinary Science at Onderstepoort  which includes an experimental farm, Mamelodi and other campuses all have large grounds and gardens which require attention. The university allocates substantial amounts of money to keep this in good shape.   </t>
  </si>
  <si>
    <t xml:space="preserve">Stellenbosch University </t>
  </si>
  <si>
    <t xml:space="preserve"> The Stellenbosch is an open campus and is sited on many hectares of land that forms an integral part of Stellenbosch town including a large sports campus and experimental farms that are all accessible to the public. This adds to the cost of operating an open campus as larger groups of the public always walk across campus grounds.  </t>
  </si>
  <si>
    <r>
      <t>Cleaning and waste management</t>
    </r>
    <r>
      <rPr>
        <u/>
        <sz val="11"/>
        <rFont val="Calibri"/>
        <family val="2"/>
      </rPr>
      <t>,</t>
    </r>
  </si>
  <si>
    <t xml:space="preserve">The size, operating hours, condition of the Building fabric of the complex and the amount of feet impacts on operation cost to keep the institution clean. The profile of students and their disposable income also impact including the institutions approach sustainability particularly recycling will impact on the cost of keeping the portfolio clean. </t>
  </si>
  <si>
    <r>
      <t>4.</t>
    </r>
    <r>
      <rPr>
        <b/>
        <sz val="7"/>
        <rFont val="Times New Roman"/>
        <family val="1"/>
      </rPr>
      <t xml:space="preserve">     </t>
    </r>
    <r>
      <rPr>
        <b/>
        <sz val="11"/>
        <rFont val="Calibri"/>
        <family val="2"/>
      </rPr>
      <t>Energy</t>
    </r>
  </si>
  <si>
    <t>The main campus is located on three sites in Pretoria and services the 400 000 student population in a multi-campus delivery with a distance learning model. The Administrative head office and confined satellite campuses can be run in an efficient manner with few distributed HVAC – Heating Ventilation Air- conditioning systems. This makes this institution extreme lean and efficient to operate.</t>
  </si>
  <si>
    <t>Main campus is very dense with tall building which are dependent on a number of elevators. These large buildings are also very dependent on Air-conditioning and both the afore-mentioned ads to the total load this add to the cost of electricity.</t>
  </si>
  <si>
    <t xml:space="preserve"> The University has sixteen bulk /industrial municipal electrical supply points with a number of domestic supply. This had a major impact on the cost electricity and the operational cost of the institution.  </t>
  </si>
  <si>
    <r>
      <t>5.</t>
    </r>
    <r>
      <rPr>
        <b/>
        <sz val="7"/>
        <rFont val="Times New Roman"/>
        <family val="1"/>
      </rPr>
      <t xml:space="preserve">     </t>
    </r>
    <r>
      <rPr>
        <b/>
        <sz val="11"/>
        <rFont val="Calibri"/>
        <family val="2"/>
      </rPr>
      <t>Security</t>
    </r>
  </si>
  <si>
    <t>This service was not clear as all institution had a blended models with certain parts of the service provided by the institutions staff and partly provided by a service provider.</t>
  </si>
  <si>
    <t>Mr Nadeem Gafieldien,</t>
  </si>
  <si>
    <t>Director: Information Services</t>
  </si>
  <si>
    <t>HEFMA</t>
  </si>
  <si>
    <t>2016 HEFMA Benchmark Report</t>
  </si>
  <si>
    <t>Copyright ©2016 by HEFMA: Higher Education Facilities Management Association (Southern Africa) All rights</t>
  </si>
  <si>
    <t>reserved</t>
  </si>
  <si>
    <t>P a g e | 2</t>
  </si>
  <si>
    <t>Except as permitted under current copyright laws, no part of this publication may be reproduced, stored in a retrieval system, distributed or transmitted in any form or by any means, electronic, mechanical, photocopying, recording, or otherwise, without the prior written permission of HEFMA: Higher Education Facilities Management Association (Southern Africa)</t>
  </si>
  <si>
    <t>The publisher makes no representation, express or implied, with regard to the accuracy of the information contained in this report and cannot accept legal responsibility or liability in whole or in part for any errors or omission that may be made.</t>
  </si>
  <si>
    <t>Editors: Venessa Ranjit, Tshwane University of Technology, ranjitv@tut.ac.za</t>
  </si>
  <si>
    <t>Publisher: HEFMA: Higher Education Facilities Management Association (Southern Africa)</t>
  </si>
  <si>
    <t>HEFMA Executive</t>
  </si>
  <si>
    <t>President</t>
  </si>
  <si>
    <t>Ms Venessa Ranjit</t>
  </si>
  <si>
    <t>Tshwane University of Technology</t>
  </si>
  <si>
    <t>Immediate Past-President</t>
  </si>
  <si>
    <t>Mr Israel Mogomotsi</t>
  </si>
  <si>
    <t>President-Elect</t>
  </si>
  <si>
    <t>Mr. Peter Peter</t>
  </si>
  <si>
    <t>Nelson Mandela University</t>
  </si>
  <si>
    <t>Secretary</t>
  </si>
  <si>
    <t>Ms Sandiswa Silwana</t>
  </si>
  <si>
    <t>University of Fort Hare</t>
  </si>
  <si>
    <t>Treasurer</t>
  </si>
  <si>
    <t>Ms Charmaine Keet</t>
  </si>
  <si>
    <t>University of Johannesburg</t>
  </si>
  <si>
    <t>Executive Member: Director: Business Partners</t>
  </si>
  <si>
    <t>Mr Musa Mfusi</t>
  </si>
  <si>
    <t>University of Kwa-Zulu Natal</t>
  </si>
  <si>
    <t>Executive Member: Director: Professional Development</t>
  </si>
  <si>
    <t>Lazarus Mthethwa</t>
  </si>
  <si>
    <t>P a g e | 3</t>
  </si>
  <si>
    <t>CONTENTS PAGE NO.</t>
  </si>
  <si>
    <t>Introduction by HEFMA Executive Member: Information Services 1</t>
  </si>
  <si>
    <t>HEFMA Executive (2017) 2</t>
  </si>
  <si>
    <t>Participating Institutions 3</t>
  </si>
  <si>
    <t>General Notes and Qualifications 3</t>
  </si>
  <si>
    <t>General Statistical Data 4</t>
  </si>
  <si>
    <t>Maintenance Services 5</t>
  </si>
  <si>
    <t>Cleaning and Waste Management 6</t>
  </si>
  <si>
    <t>Energy Consumption/Expenditure 8</t>
  </si>
  <si>
    <t>Security Services 10</t>
  </si>
  <si>
    <t>Grounds Maintenance 11</t>
  </si>
  <si>
    <t>Building Operating Costs 12</t>
  </si>
  <si>
    <t>Guidelines for completing the 2017 HEFMA benchmark survey 13</t>
  </si>
  <si>
    <t>List of Participating HEFMA Institutions (3)</t>
  </si>
  <si>
    <t>University of Stellenbosch</t>
  </si>
  <si>
    <t>General Notes and Qualifications:</t>
  </si>
  <si>
    <t>Schedule of respondents. Your institutional representative has been issued with a “Cheat Sheet” that identifies survey participants, the names of which have been excluded from the main body of the report for confidentiality reasons.</t>
  </si>
  <si>
    <t>Survey Guidelines. Guidelines and definitions for completing the survey are provided on pages 9/10. Note that additional explanatory notes were embedded into the actual 2013 survey questionnaire/spreadsheet.</t>
  </si>
  <si>
    <t>Survey Errors and Improvements. As the HEFMA benchmark survey is in its early years some inconsistencies in the way participants interpret the survey definitions and collect and compile data is expected. If you find any errors in this report, or wish to submit suggestions for improving future surveys, please contact Venessa Ranjit at ranjitv@tut.ac.za.</t>
  </si>
  <si>
    <t>P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</si>
</sst>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quot;R&quot;\ #,##0"/>
    <numFmt numFmtId="167" formatCode="0.0"/>
    <numFmt numFmtId="168" formatCode="&quot;R&quot;\ #,##0.00"/>
    <numFmt numFmtId="169" formatCode="#,##0.0"/>
    <numFmt numFmtId="170" formatCode="_ * #,##0_ ;_ * \-#,##0_ ;_ * &quot;-&quot;??_ ;_ @_ "/>
  </numFmts>
  <fonts count="19">
    <font>
      <sz val="10"/>
      <name val="Arial"/>
    </font>
    <font>
      <sz val="10"/>
      <name val="Arial"/>
      <family val="2"/>
    </font>
    <font>
      <b/>
      <sz val="10"/>
      <name val="Arial"/>
      <family val="2"/>
    </font>
    <font>
      <sz val="8"/>
      <name val="Arial"/>
      <family val="2"/>
    </font>
    <font>
      <b/>
      <vertAlign val="superscript"/>
      <sz val="10"/>
      <name val="Arial"/>
      <family val="2"/>
    </font>
    <font>
      <vertAlign val="superscript"/>
      <sz val="10"/>
      <name val="Arial"/>
      <family val="2"/>
    </font>
    <font>
      <sz val="10"/>
      <name val="Arial Narrow"/>
      <family val="2"/>
    </font>
    <font>
      <b/>
      <sz val="10"/>
      <name val="Arial Narrow"/>
      <family val="2"/>
    </font>
    <font>
      <sz val="8"/>
      <name val="Arial Narrow"/>
      <family val="2"/>
    </font>
    <font>
      <b/>
      <sz val="8"/>
      <name val="Arial Narrow"/>
      <family val="2"/>
    </font>
    <font>
      <b/>
      <sz val="10"/>
      <color indexed="9"/>
      <name val="Arial"/>
      <family val="2"/>
    </font>
    <font>
      <sz val="10"/>
      <color indexed="9"/>
      <name val="Arial"/>
      <family val="2"/>
    </font>
    <font>
      <sz val="10"/>
      <name val="Arial"/>
      <family val="2"/>
    </font>
    <font>
      <sz val="11"/>
      <name val="Calibri"/>
      <family val="2"/>
    </font>
    <font>
      <b/>
      <sz val="11"/>
      <name val="Calibri"/>
      <family val="2"/>
    </font>
    <font>
      <u/>
      <sz val="11"/>
      <name val="Calibri"/>
      <family val="2"/>
    </font>
    <font>
      <vertAlign val="superscript"/>
      <sz val="11"/>
      <name val="Calibri"/>
      <family val="2"/>
    </font>
    <font>
      <b/>
      <sz val="7"/>
      <name val="Times New Roman"/>
      <family val="1"/>
    </font>
    <font>
      <u/>
      <sz val="10"/>
      <color theme="10"/>
      <name val="Arial"/>
      <family val="2"/>
    </font>
  </fonts>
  <fills count="9">
    <fill>
      <patternFill patternType="none"/>
    </fill>
    <fill>
      <patternFill patternType="gray125"/>
    </fill>
    <fill>
      <patternFill patternType="solid">
        <fgColor indexed="13"/>
        <bgColor indexed="64"/>
      </patternFill>
    </fill>
    <fill>
      <patternFill patternType="solid">
        <fgColor indexed="11"/>
        <bgColor indexed="64"/>
      </patternFill>
    </fill>
    <fill>
      <patternFill patternType="solid">
        <fgColor indexed="44"/>
        <bgColor indexed="64"/>
      </patternFill>
    </fill>
    <fill>
      <patternFill patternType="solid">
        <fgColor indexed="18"/>
        <bgColor indexed="64"/>
      </patternFill>
    </fill>
    <fill>
      <patternFill patternType="solid">
        <fgColor rgb="FFFFFF00"/>
        <bgColor indexed="64"/>
      </patternFill>
    </fill>
    <fill>
      <patternFill patternType="solid">
        <fgColor theme="8" tint="0.39997558519241921"/>
        <bgColor indexed="64"/>
      </patternFill>
    </fill>
    <fill>
      <patternFill patternType="solid">
        <fgColor rgb="FFFF00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right style="thin">
        <color indexed="64"/>
      </right>
      <top/>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18" fillId="0" borderId="0" applyNumberFormat="0" applyFill="0" applyBorder="0" applyAlignment="0" applyProtection="0"/>
  </cellStyleXfs>
  <cellXfs count="154">
    <xf numFmtId="0" fontId="0" fillId="0" borderId="0" xfId="0"/>
    <xf numFmtId="0" fontId="0" fillId="0" borderId="0" xfId="0" applyAlignment="1">
      <alignment horizontal="center"/>
    </xf>
    <xf numFmtId="0" fontId="2" fillId="0" borderId="0" xfId="0" applyFont="1" applyAlignment="1">
      <alignment horizontal="center"/>
    </xf>
    <xf numFmtId="0" fontId="2" fillId="0" borderId="0" xfId="0" applyFont="1"/>
    <xf numFmtId="0" fontId="2" fillId="0" borderId="1" xfId="0" applyFont="1" applyBorder="1" applyAlignment="1">
      <alignment horizontal="center"/>
    </xf>
    <xf numFmtId="0" fontId="2" fillId="0" borderId="2" xfId="0" applyFont="1" applyBorder="1" applyAlignment="1">
      <alignment horizontal="center"/>
    </xf>
    <xf numFmtId="0" fontId="1" fillId="0" borderId="0" xfId="0" applyFont="1"/>
    <xf numFmtId="0" fontId="2" fillId="2" borderId="1" xfId="0" applyFont="1" applyFill="1" applyBorder="1" applyAlignment="1">
      <alignment horizontal="center"/>
    </xf>
    <xf numFmtId="0" fontId="2" fillId="2" borderId="3" xfId="0" applyFont="1" applyFill="1" applyBorder="1" applyAlignment="1">
      <alignment horizontal="center"/>
    </xf>
    <xf numFmtId="0" fontId="6" fillId="0" borderId="1" xfId="0" applyFont="1" applyBorder="1" applyAlignment="1">
      <alignment wrapText="1"/>
    </xf>
    <xf numFmtId="0" fontId="6" fillId="0" borderId="1" xfId="0" applyFont="1" applyBorder="1" applyAlignment="1">
      <alignment horizontal="center" wrapText="1"/>
    </xf>
    <xf numFmtId="166" fontId="6" fillId="0" borderId="1" xfId="0" applyNumberFormat="1" applyFont="1" applyBorder="1" applyAlignment="1">
      <alignment horizontal="center" wrapText="1"/>
    </xf>
    <xf numFmtId="166" fontId="6" fillId="2" borderId="1" xfId="0" applyNumberFormat="1" applyFont="1" applyFill="1" applyBorder="1" applyAlignment="1">
      <alignment horizontal="center" wrapText="1"/>
    </xf>
    <xf numFmtId="0" fontId="6" fillId="0" borderId="2" xfId="0" applyFont="1" applyBorder="1" applyAlignment="1">
      <alignment wrapText="1"/>
    </xf>
    <xf numFmtId="3" fontId="6" fillId="0" borderId="1" xfId="0" applyNumberFormat="1" applyFont="1" applyBorder="1" applyAlignment="1">
      <alignment horizontal="center" wrapText="1"/>
    </xf>
    <xf numFmtId="0" fontId="0" fillId="0" borderId="4" xfId="0" applyBorder="1" applyAlignment="1">
      <alignment wrapText="1"/>
    </xf>
    <xf numFmtId="0" fontId="0" fillId="0" borderId="5" xfId="0" applyBorder="1" applyAlignment="1">
      <alignment wrapText="1"/>
    </xf>
    <xf numFmtId="0" fontId="0" fillId="2" borderId="5" xfId="0" applyFill="1" applyBorder="1" applyAlignment="1">
      <alignment wrapText="1"/>
    </xf>
    <xf numFmtId="0" fontId="0" fillId="2" borderId="6" xfId="0" applyFill="1" applyBorder="1" applyAlignment="1">
      <alignment wrapText="1"/>
    </xf>
    <xf numFmtId="0" fontId="0" fillId="0" borderId="7" xfId="0" applyBorder="1" applyAlignment="1">
      <alignment horizontal="center"/>
    </xf>
    <xf numFmtId="0" fontId="0" fillId="0" borderId="8" xfId="0" applyBorder="1" applyAlignment="1">
      <alignment horizontal="center"/>
    </xf>
    <xf numFmtId="0" fontId="0" fillId="2" borderId="8" xfId="0" applyFill="1" applyBorder="1" applyAlignment="1">
      <alignment horizontal="center"/>
    </xf>
    <xf numFmtId="0" fontId="0" fillId="2" borderId="9" xfId="0" applyFill="1" applyBorder="1" applyAlignment="1">
      <alignment horizontal="center"/>
    </xf>
    <xf numFmtId="0" fontId="6" fillId="3" borderId="2" xfId="0" applyFont="1" applyFill="1" applyBorder="1" applyAlignment="1">
      <alignment wrapText="1"/>
    </xf>
    <xf numFmtId="0" fontId="6" fillId="3" borderId="1" xfId="0" applyFont="1" applyFill="1" applyBorder="1" applyAlignment="1">
      <alignment wrapText="1"/>
    </xf>
    <xf numFmtId="3" fontId="6" fillId="3" borderId="1" xfId="0" applyNumberFormat="1" applyFont="1" applyFill="1" applyBorder="1" applyAlignment="1">
      <alignment horizontal="center" wrapText="1"/>
    </xf>
    <xf numFmtId="166" fontId="6" fillId="3" borderId="1" xfId="0" applyNumberFormat="1" applyFont="1" applyFill="1" applyBorder="1" applyAlignment="1">
      <alignment horizontal="center" wrapText="1"/>
    </xf>
    <xf numFmtId="0" fontId="6" fillId="4" borderId="7" xfId="0" applyFont="1" applyFill="1" applyBorder="1" applyAlignment="1">
      <alignment wrapText="1"/>
    </xf>
    <xf numFmtId="0" fontId="6" fillId="4" borderId="8" xfId="0" applyFont="1" applyFill="1" applyBorder="1" applyAlignment="1">
      <alignment wrapText="1"/>
    </xf>
    <xf numFmtId="3" fontId="6" fillId="4" borderId="8" xfId="0" applyNumberFormat="1" applyFont="1" applyFill="1" applyBorder="1" applyAlignment="1">
      <alignment horizontal="center" wrapText="1"/>
    </xf>
    <xf numFmtId="166" fontId="6" fillId="4" borderId="8" xfId="0" applyNumberFormat="1" applyFont="1" applyFill="1" applyBorder="1" applyAlignment="1">
      <alignment horizontal="center" wrapText="1"/>
    </xf>
    <xf numFmtId="165" fontId="6" fillId="0" borderId="1" xfId="0" applyNumberFormat="1" applyFont="1" applyFill="1" applyBorder="1" applyAlignment="1">
      <alignment horizontal="center" wrapText="1"/>
    </xf>
    <xf numFmtId="0" fontId="0" fillId="0" borderId="5" xfId="0" applyFill="1" applyBorder="1" applyAlignment="1">
      <alignment wrapText="1"/>
    </xf>
    <xf numFmtId="166" fontId="6" fillId="0" borderId="1" xfId="0" applyNumberFormat="1" applyFont="1" applyFill="1" applyBorder="1" applyAlignment="1">
      <alignment horizontal="center" wrapText="1"/>
    </xf>
    <xf numFmtId="165" fontId="7" fillId="2" borderId="1" xfId="0" applyNumberFormat="1" applyFont="1" applyFill="1" applyBorder="1" applyAlignment="1">
      <alignment horizontal="center" wrapText="1"/>
    </xf>
    <xf numFmtId="165" fontId="7" fillId="2" borderId="8" xfId="0" applyNumberFormat="1" applyFont="1" applyFill="1" applyBorder="1" applyAlignment="1">
      <alignment horizontal="center" wrapText="1"/>
    </xf>
    <xf numFmtId="166" fontId="7" fillId="2" borderId="1" xfId="0" applyNumberFormat="1" applyFont="1" applyFill="1" applyBorder="1" applyAlignment="1">
      <alignment horizontal="center" wrapText="1"/>
    </xf>
    <xf numFmtId="167" fontId="7" fillId="2" borderId="3" xfId="0" applyNumberFormat="1" applyFont="1" applyFill="1" applyBorder="1" applyAlignment="1">
      <alignment horizontal="center" wrapText="1"/>
    </xf>
    <xf numFmtId="167" fontId="7" fillId="2" borderId="9" xfId="0" applyNumberFormat="1" applyFont="1" applyFill="1" applyBorder="1" applyAlignment="1">
      <alignment horizontal="center" wrapText="1"/>
    </xf>
    <xf numFmtId="3" fontId="7" fillId="2" borderId="1" xfId="0" applyNumberFormat="1" applyFont="1" applyFill="1" applyBorder="1" applyAlignment="1">
      <alignment horizontal="center" wrapText="1"/>
    </xf>
    <xf numFmtId="166" fontId="6" fillId="3" borderId="2" xfId="0" applyNumberFormat="1" applyFont="1" applyFill="1" applyBorder="1" applyAlignment="1">
      <alignment wrapText="1"/>
    </xf>
    <xf numFmtId="166" fontId="6" fillId="3" borderId="1" xfId="0" applyNumberFormat="1" applyFont="1" applyFill="1" applyBorder="1" applyAlignment="1">
      <alignment wrapText="1"/>
    </xf>
    <xf numFmtId="166" fontId="6" fillId="4" borderId="7" xfId="0" applyNumberFormat="1" applyFont="1" applyFill="1" applyBorder="1" applyAlignment="1">
      <alignment wrapText="1"/>
    </xf>
    <xf numFmtId="166" fontId="6" fillId="4" borderId="8" xfId="0" applyNumberFormat="1" applyFont="1" applyFill="1" applyBorder="1" applyAlignment="1">
      <alignment wrapText="1"/>
    </xf>
    <xf numFmtId="0" fontId="2" fillId="0" borderId="1" xfId="0" applyFont="1" applyFill="1" applyBorder="1" applyAlignment="1">
      <alignment horizontal="center"/>
    </xf>
    <xf numFmtId="0" fontId="0" fillId="0" borderId="8" xfId="0" applyFill="1" applyBorder="1" applyAlignment="1">
      <alignment horizontal="center"/>
    </xf>
    <xf numFmtId="3" fontId="6" fillId="0" borderId="1" xfId="0" applyNumberFormat="1" applyFont="1" applyFill="1" applyBorder="1" applyAlignment="1">
      <alignment horizontal="center" wrapText="1"/>
    </xf>
    <xf numFmtId="3" fontId="7" fillId="2" borderId="3" xfId="0" applyNumberFormat="1" applyFont="1" applyFill="1" applyBorder="1" applyAlignment="1">
      <alignment horizontal="center" wrapText="1"/>
    </xf>
    <xf numFmtId="166" fontId="6" fillId="0" borderId="2" xfId="0" applyNumberFormat="1" applyFont="1" applyBorder="1" applyAlignment="1">
      <alignment wrapText="1"/>
    </xf>
    <xf numFmtId="166" fontId="6" fillId="0" borderId="1" xfId="0" applyNumberFormat="1" applyFont="1" applyBorder="1" applyAlignment="1">
      <alignment wrapText="1"/>
    </xf>
    <xf numFmtId="4" fontId="6" fillId="2" borderId="1" xfId="0" applyNumberFormat="1" applyFont="1" applyFill="1" applyBorder="1" applyAlignment="1">
      <alignment horizontal="center" wrapText="1"/>
    </xf>
    <xf numFmtId="168" fontId="6" fillId="2" borderId="1" xfId="0" applyNumberFormat="1" applyFont="1" applyFill="1" applyBorder="1" applyAlignment="1">
      <alignment horizontal="center" wrapText="1"/>
    </xf>
    <xf numFmtId="169" fontId="6" fillId="2" borderId="1" xfId="0" applyNumberFormat="1" applyFont="1" applyFill="1" applyBorder="1" applyAlignment="1">
      <alignment horizontal="center" wrapText="1"/>
    </xf>
    <xf numFmtId="0" fontId="3" fillId="0" borderId="0" xfId="0" applyFont="1"/>
    <xf numFmtId="0" fontId="8" fillId="0" borderId="0" xfId="0" applyFont="1"/>
    <xf numFmtId="0" fontId="6" fillId="0" borderId="0" xfId="0" applyFont="1" applyAlignment="1">
      <alignment wrapText="1"/>
    </xf>
    <xf numFmtId="0" fontId="0" fillId="0" borderId="0" xfId="0" applyAlignment="1">
      <alignment wrapText="1"/>
    </xf>
    <xf numFmtId="0" fontId="7" fillId="0" borderId="0" xfId="0" applyFont="1"/>
    <xf numFmtId="0" fontId="6" fillId="0" borderId="2" xfId="0" applyFont="1" applyBorder="1" applyAlignment="1">
      <alignment horizontal="center" wrapText="1"/>
    </xf>
    <xf numFmtId="0" fontId="6" fillId="0" borderId="0" xfId="0" applyFont="1" applyAlignment="1">
      <alignment horizontal="left" wrapText="1"/>
    </xf>
    <xf numFmtId="3" fontId="7" fillId="2" borderId="8" xfId="0" applyNumberFormat="1" applyFont="1" applyFill="1" applyBorder="1" applyAlignment="1">
      <alignment horizontal="center" wrapText="1"/>
    </xf>
    <xf numFmtId="166" fontId="7" fillId="2" borderId="8" xfId="0" applyNumberFormat="1" applyFont="1" applyFill="1" applyBorder="1" applyAlignment="1">
      <alignment horizontal="center" wrapText="1"/>
    </xf>
    <xf numFmtId="165" fontId="7" fillId="2" borderId="1" xfId="0" applyNumberFormat="1" applyFont="1" applyFill="1" applyBorder="1" applyAlignment="1" applyProtection="1">
      <alignment horizontal="center" wrapText="1"/>
    </xf>
    <xf numFmtId="0" fontId="11" fillId="5" borderId="0" xfId="0" applyFont="1" applyFill="1"/>
    <xf numFmtId="3" fontId="7" fillId="2" borderId="9" xfId="0" applyNumberFormat="1" applyFont="1" applyFill="1" applyBorder="1" applyAlignment="1">
      <alignment horizontal="center" wrapText="1"/>
    </xf>
    <xf numFmtId="4" fontId="6" fillId="2" borderId="8" xfId="0" applyNumberFormat="1" applyFont="1" applyFill="1" applyBorder="1" applyAlignment="1">
      <alignment horizontal="center" wrapText="1"/>
    </xf>
    <xf numFmtId="169" fontId="6" fillId="2" borderId="8" xfId="0" applyNumberFormat="1" applyFont="1" applyFill="1" applyBorder="1" applyAlignment="1">
      <alignment horizontal="center" wrapText="1"/>
    </xf>
    <xf numFmtId="168" fontId="6" fillId="2" borderId="8" xfId="0" applyNumberFormat="1" applyFont="1" applyFill="1" applyBorder="1" applyAlignment="1">
      <alignment horizontal="center" wrapText="1"/>
    </xf>
    <xf numFmtId="166" fontId="6" fillId="2" borderId="8" xfId="0" applyNumberFormat="1" applyFont="1" applyFill="1" applyBorder="1" applyAlignment="1">
      <alignment horizontal="center" wrapText="1"/>
    </xf>
    <xf numFmtId="166" fontId="6" fillId="4" borderId="7" xfId="0" applyNumberFormat="1" applyFont="1" applyFill="1" applyBorder="1" applyAlignment="1">
      <alignment horizontal="center" wrapText="1"/>
    </xf>
    <xf numFmtId="3" fontId="6" fillId="4" borderId="7" xfId="0" applyNumberFormat="1" applyFont="1" applyFill="1" applyBorder="1" applyAlignment="1">
      <alignment wrapText="1"/>
    </xf>
    <xf numFmtId="3" fontId="6" fillId="3" borderId="1" xfId="0" applyNumberFormat="1" applyFont="1" applyFill="1" applyBorder="1" applyAlignment="1">
      <alignment horizontal="right" wrapText="1"/>
    </xf>
    <xf numFmtId="0" fontId="0" fillId="0" borderId="1" xfId="0" applyFill="1" applyBorder="1" applyAlignment="1">
      <alignment horizontal="center"/>
    </xf>
    <xf numFmtId="10" fontId="6" fillId="2" borderId="1" xfId="0" applyNumberFormat="1" applyFont="1" applyFill="1" applyBorder="1" applyAlignment="1">
      <alignment horizontal="center" wrapText="1"/>
    </xf>
    <xf numFmtId="10" fontId="6" fillId="6" borderId="1" xfId="2" applyNumberFormat="1" applyFont="1" applyFill="1" applyBorder="1" applyAlignment="1">
      <alignment horizontal="center" wrapText="1"/>
    </xf>
    <xf numFmtId="0" fontId="6" fillId="0" borderId="1" xfId="0" applyFont="1" applyFill="1" applyBorder="1" applyAlignment="1">
      <alignment horizontal="center" wrapText="1"/>
    </xf>
    <xf numFmtId="167" fontId="6" fillId="0" borderId="1" xfId="0" applyNumberFormat="1" applyFont="1" applyFill="1" applyBorder="1" applyAlignment="1">
      <alignment horizontal="center" wrapText="1"/>
    </xf>
    <xf numFmtId="0" fontId="0" fillId="0" borderId="1" xfId="0" applyBorder="1"/>
    <xf numFmtId="0" fontId="0" fillId="0" borderId="2" xfId="0" applyFill="1" applyBorder="1" applyAlignment="1">
      <alignment horizontal="center"/>
    </xf>
    <xf numFmtId="0" fontId="0" fillId="0" borderId="3" xfId="0" applyFill="1" applyBorder="1" applyAlignment="1">
      <alignment horizontal="center"/>
    </xf>
    <xf numFmtId="166" fontId="6" fillId="2" borderId="2" xfId="0" applyNumberFormat="1" applyFont="1" applyFill="1" applyBorder="1" applyAlignment="1">
      <alignment horizontal="center" wrapText="1"/>
    </xf>
    <xf numFmtId="10" fontId="6" fillId="6" borderId="3" xfId="2" applyNumberFormat="1" applyFont="1" applyFill="1" applyBorder="1" applyAlignment="1">
      <alignment horizontal="center" wrapText="1"/>
    </xf>
    <xf numFmtId="0" fontId="0" fillId="0" borderId="3" xfId="0" applyBorder="1"/>
    <xf numFmtId="10" fontId="6" fillId="4" borderId="8" xfId="0" applyNumberFormat="1" applyFont="1" applyFill="1" applyBorder="1" applyAlignment="1">
      <alignment horizontal="center" wrapText="1"/>
    </xf>
    <xf numFmtId="3" fontId="6" fillId="7" borderId="8" xfId="0" applyNumberFormat="1" applyFont="1" applyFill="1" applyBorder="1" applyAlignment="1">
      <alignment horizontal="center" wrapText="1"/>
    </xf>
    <xf numFmtId="3" fontId="6" fillId="7" borderId="9" xfId="0" applyNumberFormat="1" applyFont="1" applyFill="1" applyBorder="1" applyAlignment="1">
      <alignment horizontal="center" wrapText="1"/>
    </xf>
    <xf numFmtId="170" fontId="6" fillId="0" borderId="1" xfId="1" applyNumberFormat="1" applyFont="1" applyBorder="1" applyAlignment="1">
      <alignment horizontal="center" wrapText="1"/>
    </xf>
    <xf numFmtId="0" fontId="12" fillId="0" borderId="0" xfId="0" applyFont="1"/>
    <xf numFmtId="1" fontId="6" fillId="3" borderId="1" xfId="1" applyNumberFormat="1" applyFont="1" applyFill="1" applyBorder="1" applyAlignment="1">
      <alignment horizontal="center" wrapText="1"/>
    </xf>
    <xf numFmtId="1" fontId="6" fillId="4" borderId="8" xfId="1" applyNumberFormat="1" applyFont="1" applyFill="1" applyBorder="1" applyAlignment="1">
      <alignment horizontal="center" wrapText="1"/>
    </xf>
    <xf numFmtId="166" fontId="6" fillId="3" borderId="1" xfId="0" applyNumberFormat="1" applyFont="1" applyFill="1" applyBorder="1" applyAlignment="1">
      <alignment horizontal="center" vertical="center" wrapText="1"/>
    </xf>
    <xf numFmtId="3" fontId="7" fillId="2" borderId="1" xfId="0" applyNumberFormat="1" applyFont="1" applyFill="1" applyBorder="1" applyAlignment="1">
      <alignment horizontal="center" vertical="center" wrapText="1"/>
    </xf>
    <xf numFmtId="166" fontId="7" fillId="2" borderId="1" xfId="0" applyNumberFormat="1" applyFont="1" applyFill="1" applyBorder="1" applyAlignment="1">
      <alignment horizontal="center" vertical="center" wrapText="1"/>
    </xf>
    <xf numFmtId="3" fontId="6" fillId="3" borderId="1" xfId="0" applyNumberFormat="1" applyFont="1" applyFill="1" applyBorder="1" applyAlignment="1">
      <alignment horizontal="center" vertical="center" wrapText="1"/>
    </xf>
    <xf numFmtId="0" fontId="6" fillId="8" borderId="21" xfId="0" applyFont="1" applyFill="1" applyBorder="1" applyAlignment="1">
      <alignment wrapText="1"/>
    </xf>
    <xf numFmtId="166" fontId="6" fillId="8" borderId="20" xfId="0" applyNumberFormat="1" applyFont="1" applyFill="1" applyBorder="1" applyAlignment="1">
      <alignment horizontal="center" wrapText="1"/>
    </xf>
    <xf numFmtId="0" fontId="6" fillId="6" borderId="21" xfId="0" applyFont="1" applyFill="1" applyBorder="1" applyAlignment="1">
      <alignment wrapText="1"/>
    </xf>
    <xf numFmtId="166" fontId="6" fillId="6" borderId="20" xfId="0" applyNumberFormat="1" applyFont="1" applyFill="1" applyBorder="1" applyAlignment="1">
      <alignment horizontal="center" wrapText="1"/>
    </xf>
    <xf numFmtId="166" fontId="6" fillId="3" borderId="2" xfId="0" applyNumberFormat="1" applyFont="1" applyFill="1" applyBorder="1" applyAlignment="1">
      <alignment horizontal="right" wrapText="1"/>
    </xf>
    <xf numFmtId="166" fontId="6" fillId="3" borderId="2" xfId="0" applyNumberFormat="1" applyFont="1" applyFill="1" applyBorder="1" applyAlignment="1">
      <alignment horizontal="right" vertical="center" wrapText="1"/>
    </xf>
    <xf numFmtId="165" fontId="7" fillId="8" borderId="1" xfId="0" applyNumberFormat="1" applyFont="1" applyFill="1" applyBorder="1" applyAlignment="1">
      <alignment horizontal="center" wrapText="1"/>
    </xf>
    <xf numFmtId="165" fontId="1" fillId="0" borderId="0" xfId="0" applyNumberFormat="1" applyFont="1"/>
    <xf numFmtId="166" fontId="6" fillId="0" borderId="20" xfId="0" applyNumberFormat="1" applyFont="1" applyFill="1" applyBorder="1" applyAlignment="1">
      <alignment horizontal="center" wrapText="1"/>
    </xf>
    <xf numFmtId="164" fontId="1" fillId="0" borderId="0" xfId="1" applyFont="1"/>
    <xf numFmtId="164" fontId="6" fillId="8" borderId="20" xfId="1" applyFont="1" applyFill="1" applyBorder="1" applyAlignment="1">
      <alignment horizontal="center" wrapText="1"/>
    </xf>
    <xf numFmtId="164" fontId="6" fillId="6" borderId="20" xfId="1" applyFont="1" applyFill="1" applyBorder="1" applyAlignment="1">
      <alignment horizontal="center" wrapText="1"/>
    </xf>
    <xf numFmtId="166" fontId="6" fillId="0" borderId="0" xfId="0" applyNumberFormat="1" applyFont="1" applyFill="1" applyBorder="1" applyAlignment="1">
      <alignment horizontal="center" wrapText="1"/>
    </xf>
    <xf numFmtId="168" fontId="6" fillId="8" borderId="20" xfId="0" applyNumberFormat="1" applyFont="1" applyFill="1" applyBorder="1" applyAlignment="1">
      <alignment horizontal="center" wrapText="1"/>
    </xf>
    <xf numFmtId="168" fontId="6" fillId="6" borderId="20" xfId="0" applyNumberFormat="1" applyFont="1" applyFill="1" applyBorder="1" applyAlignment="1">
      <alignment horizontal="center" wrapText="1"/>
    </xf>
    <xf numFmtId="168" fontId="6" fillId="0" borderId="20" xfId="0" applyNumberFormat="1" applyFont="1" applyFill="1" applyBorder="1" applyAlignment="1">
      <alignment horizontal="center" wrapText="1"/>
    </xf>
    <xf numFmtId="0" fontId="14" fillId="0" borderId="0" xfId="0" applyFont="1" applyAlignment="1">
      <alignment vertical="center"/>
    </xf>
    <xf numFmtId="0" fontId="15" fillId="0" borderId="0" xfId="0" applyFont="1" applyAlignment="1">
      <alignment vertical="center"/>
    </xf>
    <xf numFmtId="0" fontId="13" fillId="0" borderId="0" xfId="0" applyFont="1" applyAlignment="1">
      <alignment vertical="center"/>
    </xf>
    <xf numFmtId="0" fontId="14" fillId="0" borderId="0" xfId="0" applyFont="1" applyAlignment="1">
      <alignment horizontal="left" vertical="center" indent="4"/>
    </xf>
    <xf numFmtId="0" fontId="13" fillId="0" borderId="0" xfId="0" applyFont="1" applyAlignment="1">
      <alignment horizontal="left" vertical="center" indent="4"/>
    </xf>
    <xf numFmtId="0" fontId="15" fillId="0" borderId="0" xfId="0" applyFont="1" applyAlignment="1">
      <alignment horizontal="left" vertical="center" indent="4"/>
    </xf>
    <xf numFmtId="0" fontId="18" fillId="0" borderId="0" xfId="3" applyAlignment="1">
      <alignment horizontal="left" vertical="center" indent="4"/>
    </xf>
    <xf numFmtId="17" fontId="13" fillId="0" borderId="0" xfId="0" applyNumberFormat="1" applyFont="1" applyAlignment="1">
      <alignment vertical="center"/>
    </xf>
    <xf numFmtId="0" fontId="6" fillId="0" borderId="0" xfId="0" applyFont="1" applyAlignment="1">
      <alignment horizontal="left" wrapText="1"/>
    </xf>
    <xf numFmtId="0" fontId="10" fillId="5" borderId="0" xfId="0" applyFont="1" applyFill="1" applyAlignment="1">
      <alignment horizontal="center"/>
    </xf>
    <xf numFmtId="0" fontId="7" fillId="0" borderId="0" xfId="0" applyFont="1" applyAlignment="1">
      <alignment horizontal="left" wrapText="1"/>
    </xf>
    <xf numFmtId="0" fontId="10" fillId="5" borderId="10" xfId="0" applyFont="1" applyFill="1" applyBorder="1" applyAlignment="1">
      <alignment horizontal="center"/>
    </xf>
    <xf numFmtId="0" fontId="10" fillId="5" borderId="11" xfId="0" applyFont="1" applyFill="1" applyBorder="1" applyAlignment="1">
      <alignment horizontal="center"/>
    </xf>
    <xf numFmtId="0" fontId="10" fillId="5" borderId="12" xfId="0" applyFont="1" applyFill="1" applyBorder="1" applyAlignment="1">
      <alignment horizontal="center"/>
    </xf>
    <xf numFmtId="0" fontId="2"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2" borderId="3" xfId="0" applyFont="1" applyFill="1" applyBorder="1" applyAlignment="1">
      <alignment horizontal="center" wrapText="1"/>
    </xf>
    <xf numFmtId="0" fontId="8" fillId="0" borderId="1" xfId="0" applyFont="1" applyBorder="1" applyAlignment="1">
      <alignment horizontal="left" wrapText="1"/>
    </xf>
    <xf numFmtId="0" fontId="2" fillId="0" borderId="2" xfId="0" applyFont="1" applyBorder="1" applyAlignment="1">
      <alignment horizontal="center" wrapText="1"/>
    </xf>
    <xf numFmtId="0" fontId="2" fillId="0" borderId="1" xfId="0" applyFont="1" applyBorder="1" applyAlignment="1">
      <alignment horizontal="center"/>
    </xf>
    <xf numFmtId="0" fontId="2" fillId="0" borderId="1" xfId="0" applyFont="1" applyBorder="1" applyAlignment="1">
      <alignment horizontal="center" wrapText="1"/>
    </xf>
    <xf numFmtId="0" fontId="2" fillId="2" borderId="1" xfId="0" applyFont="1" applyFill="1" applyBorder="1" applyAlignment="1">
      <alignment horizontal="center"/>
    </xf>
    <xf numFmtId="0" fontId="2" fillId="2" borderId="1" xfId="0" applyFont="1" applyFill="1" applyBorder="1" applyAlignment="1">
      <alignment horizontal="center" wrapText="1"/>
    </xf>
    <xf numFmtId="0" fontId="9" fillId="0" borderId="1" xfId="0" applyFont="1" applyBorder="1" applyAlignment="1">
      <alignment horizontal="left" wrapText="1"/>
    </xf>
    <xf numFmtId="0" fontId="2" fillId="0" borderId="13" xfId="0" applyFont="1" applyBorder="1" applyAlignment="1">
      <alignment horizontal="center" wrapText="1"/>
    </xf>
    <xf numFmtId="0" fontId="2" fillId="0" borderId="14" xfId="0" applyFont="1" applyBorder="1" applyAlignment="1">
      <alignment horizontal="center" wrapText="1"/>
    </xf>
    <xf numFmtId="0" fontId="2" fillId="0" borderId="5" xfId="0" applyFont="1" applyBorder="1" applyAlignment="1">
      <alignment horizontal="center" wrapText="1"/>
    </xf>
    <xf numFmtId="0" fontId="2" fillId="2" borderId="13" xfId="0" applyFont="1" applyFill="1" applyBorder="1" applyAlignment="1">
      <alignment horizontal="center" wrapText="1"/>
    </xf>
    <xf numFmtId="0" fontId="2" fillId="2" borderId="14" xfId="0" applyFont="1" applyFill="1" applyBorder="1" applyAlignment="1">
      <alignment horizontal="center" wrapText="1"/>
    </xf>
    <xf numFmtId="0" fontId="2" fillId="2" borderId="5" xfId="0" applyFont="1" applyFill="1" applyBorder="1" applyAlignment="1">
      <alignment horizontal="center" wrapText="1"/>
    </xf>
    <xf numFmtId="0" fontId="10" fillId="5" borderId="4" xfId="0" applyFont="1" applyFill="1" applyBorder="1" applyAlignment="1">
      <alignment horizontal="center"/>
    </xf>
    <xf numFmtId="0" fontId="10" fillId="5" borderId="5" xfId="0" applyFont="1" applyFill="1" applyBorder="1" applyAlignment="1">
      <alignment horizontal="center"/>
    </xf>
    <xf numFmtId="0" fontId="10" fillId="5" borderId="6" xfId="0" applyFont="1" applyFill="1" applyBorder="1" applyAlignment="1">
      <alignment horizontal="center"/>
    </xf>
    <xf numFmtId="0" fontId="2" fillId="0" borderId="13" xfId="0" applyFont="1" applyFill="1" applyBorder="1" applyAlignment="1">
      <alignment horizontal="center" wrapText="1"/>
    </xf>
    <xf numFmtId="0" fontId="2" fillId="0" borderId="14" xfId="0" applyFont="1" applyFill="1" applyBorder="1" applyAlignment="1">
      <alignment horizontal="center" wrapText="1"/>
    </xf>
    <xf numFmtId="0" fontId="2" fillId="0" borderId="5" xfId="0" applyFont="1" applyFill="1" applyBorder="1" applyAlignment="1">
      <alignment horizontal="center" wrapText="1"/>
    </xf>
    <xf numFmtId="0" fontId="2" fillId="0" borderId="1" xfId="0" applyFont="1" applyFill="1" applyBorder="1" applyAlignment="1">
      <alignment horizontal="center" wrapText="1"/>
    </xf>
    <xf numFmtId="0" fontId="10" fillId="5" borderId="15" xfId="0" applyFont="1" applyFill="1" applyBorder="1" applyAlignment="1">
      <alignment horizontal="center"/>
    </xf>
    <xf numFmtId="0" fontId="10" fillId="5" borderId="16" xfId="0" applyFont="1" applyFill="1" applyBorder="1" applyAlignment="1">
      <alignment horizontal="center"/>
    </xf>
    <xf numFmtId="0" fontId="6" fillId="0" borderId="1" xfId="0" applyFont="1" applyBorder="1" applyAlignment="1">
      <alignment horizontal="left" wrapText="1"/>
    </xf>
    <xf numFmtId="0" fontId="10" fillId="5" borderId="17" xfId="0" applyFont="1" applyFill="1" applyBorder="1" applyAlignment="1">
      <alignment horizontal="center"/>
    </xf>
    <xf numFmtId="0" fontId="10" fillId="5" borderId="18" xfId="0" applyFont="1" applyFill="1" applyBorder="1" applyAlignment="1">
      <alignment horizontal="center"/>
    </xf>
    <xf numFmtId="0" fontId="10" fillId="5" borderId="19" xfId="0" applyFont="1" applyFill="1" applyBorder="1" applyAlignment="1">
      <alignment horizontal="center"/>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ZA"/>
              <a:t>Building Costs as a % of ARV Institutional Comparison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strRef>
              <c:f>'Building Operating Costs'!$A$22</c:f>
              <c:strCache>
                <c:ptCount val="1"/>
                <c:pt idx="0">
                  <c:v>Stellenbosch University</c:v>
                </c:pt>
              </c:strCache>
            </c:strRef>
          </c:tx>
          <c:spPr>
            <a:solidFill>
              <a:schemeClr val="accent3"/>
            </a:solidFill>
            <a:ln>
              <a:noFill/>
            </a:ln>
            <a:effectLst/>
            <a:sp3d/>
          </c:spPr>
          <c:invertIfNegative val="0"/>
          <c:cat>
            <c:strRef>
              <c:f>'Building Operating Costs'!$F$16:$J$16</c:f>
              <c:strCache>
                <c:ptCount val="5"/>
                <c:pt idx="0">
                  <c:v>Maintenance</c:v>
                </c:pt>
                <c:pt idx="1">
                  <c:v>Cleaning &amp; Waste</c:v>
                </c:pt>
                <c:pt idx="2">
                  <c:v>Grounds Maintenance</c:v>
                </c:pt>
                <c:pt idx="3">
                  <c:v>Security</c:v>
                </c:pt>
                <c:pt idx="4">
                  <c:v>Energy</c:v>
                </c:pt>
              </c:strCache>
            </c:strRef>
          </c:cat>
          <c:val>
            <c:numRef>
              <c:f>'Building Operating Costs'!$F$22:$J$22</c:f>
              <c:numCache>
                <c:formatCode>0.00%</c:formatCode>
                <c:ptCount val="5"/>
                <c:pt idx="0">
                  <c:v>1.3457319610859199E-2</c:v>
                </c:pt>
                <c:pt idx="1">
                  <c:v>4.6083589234563399E-3</c:v>
                </c:pt>
                <c:pt idx="2">
                  <c:v>1.8914844266924597E-3</c:v>
                </c:pt>
                <c:pt idx="3">
                  <c:v>6.0922464373800236E-3</c:v>
                </c:pt>
                <c:pt idx="4">
                  <c:v>9.7291652183307282E-3</c:v>
                </c:pt>
              </c:numCache>
            </c:numRef>
          </c:val>
          <c:extLst>
            <c:ext xmlns:c16="http://schemas.microsoft.com/office/drawing/2014/chart" uri="{C3380CC4-5D6E-409C-BE32-E72D297353CC}">
              <c16:uniqueId val="{00000002-C072-4BE9-AC3D-1350E0E7C0BA}"/>
            </c:ext>
          </c:extLst>
        </c:ser>
        <c:ser>
          <c:idx val="3"/>
          <c:order val="1"/>
          <c:tx>
            <c:strRef>
              <c:f>'Building Operating Costs'!$A$23</c:f>
              <c:strCache>
                <c:ptCount val="1"/>
                <c:pt idx="0">
                  <c:v>University of Pretoria</c:v>
                </c:pt>
              </c:strCache>
            </c:strRef>
          </c:tx>
          <c:spPr>
            <a:solidFill>
              <a:schemeClr val="accent4"/>
            </a:solidFill>
            <a:ln>
              <a:noFill/>
            </a:ln>
            <a:effectLst/>
            <a:sp3d/>
          </c:spPr>
          <c:invertIfNegative val="0"/>
          <c:cat>
            <c:strRef>
              <c:f>'Building Operating Costs'!$F$16:$J$16</c:f>
              <c:strCache>
                <c:ptCount val="5"/>
                <c:pt idx="0">
                  <c:v>Maintenance</c:v>
                </c:pt>
                <c:pt idx="1">
                  <c:v>Cleaning &amp; Waste</c:v>
                </c:pt>
                <c:pt idx="2">
                  <c:v>Grounds Maintenance</c:v>
                </c:pt>
                <c:pt idx="3">
                  <c:v>Security</c:v>
                </c:pt>
                <c:pt idx="4">
                  <c:v>Energy</c:v>
                </c:pt>
              </c:strCache>
            </c:strRef>
          </c:cat>
          <c:val>
            <c:numRef>
              <c:f>'Building Operating Costs'!$F$23:$J$23</c:f>
              <c:numCache>
                <c:formatCode>0.00%</c:formatCode>
                <c:ptCount val="5"/>
                <c:pt idx="0">
                  <c:v>8.7865527788998279E-3</c:v>
                </c:pt>
                <c:pt idx="1">
                  <c:v>4.0724248434514908E-3</c:v>
                </c:pt>
                <c:pt idx="2">
                  <c:v>2.7439578292252848E-3</c:v>
                </c:pt>
                <c:pt idx="3">
                  <c:v>7.8964233650545279E-3</c:v>
                </c:pt>
                <c:pt idx="4">
                  <c:v>8.7960170681783741E-3</c:v>
                </c:pt>
              </c:numCache>
            </c:numRef>
          </c:val>
          <c:extLst>
            <c:ext xmlns:c16="http://schemas.microsoft.com/office/drawing/2014/chart" uri="{C3380CC4-5D6E-409C-BE32-E72D297353CC}">
              <c16:uniqueId val="{00000003-C072-4BE9-AC3D-1350E0E7C0BA}"/>
            </c:ext>
          </c:extLst>
        </c:ser>
        <c:ser>
          <c:idx val="4"/>
          <c:order val="2"/>
          <c:tx>
            <c:strRef>
              <c:f>'Building Operating Costs'!$A$24</c:f>
              <c:strCache>
                <c:ptCount val="1"/>
                <c:pt idx="0">
                  <c:v>University of South Africa</c:v>
                </c:pt>
              </c:strCache>
            </c:strRef>
          </c:tx>
          <c:spPr>
            <a:solidFill>
              <a:schemeClr val="accent5"/>
            </a:solidFill>
            <a:ln>
              <a:noFill/>
            </a:ln>
            <a:effectLst/>
            <a:sp3d/>
          </c:spPr>
          <c:invertIfNegative val="0"/>
          <c:cat>
            <c:strRef>
              <c:f>'Building Operating Costs'!$F$16:$J$16</c:f>
              <c:strCache>
                <c:ptCount val="5"/>
                <c:pt idx="0">
                  <c:v>Maintenance</c:v>
                </c:pt>
                <c:pt idx="1">
                  <c:v>Cleaning &amp; Waste</c:v>
                </c:pt>
                <c:pt idx="2">
                  <c:v>Grounds Maintenance</c:v>
                </c:pt>
                <c:pt idx="3">
                  <c:v>Security</c:v>
                </c:pt>
                <c:pt idx="4">
                  <c:v>Energy</c:v>
                </c:pt>
              </c:strCache>
            </c:strRef>
          </c:cat>
          <c:val>
            <c:numRef>
              <c:f>'Building Operating Costs'!$F$24:$J$24</c:f>
              <c:numCache>
                <c:formatCode>0.00%</c:formatCode>
                <c:ptCount val="5"/>
                <c:pt idx="0">
                  <c:v>1.2276244396471585E-2</c:v>
                </c:pt>
                <c:pt idx="1">
                  <c:v>5.0171633234862723E-3</c:v>
                </c:pt>
                <c:pt idx="2">
                  <c:v>8.5884202845515269E-4</c:v>
                </c:pt>
                <c:pt idx="3">
                  <c:v>0</c:v>
                </c:pt>
                <c:pt idx="4">
                  <c:v>4.6920032226744068E-3</c:v>
                </c:pt>
              </c:numCache>
            </c:numRef>
          </c:val>
          <c:extLst>
            <c:ext xmlns:c16="http://schemas.microsoft.com/office/drawing/2014/chart" uri="{C3380CC4-5D6E-409C-BE32-E72D297353CC}">
              <c16:uniqueId val="{00000004-C072-4BE9-AC3D-1350E0E7C0BA}"/>
            </c:ext>
          </c:extLst>
        </c:ser>
        <c:dLbls>
          <c:showLegendKey val="0"/>
          <c:showVal val="0"/>
          <c:showCatName val="0"/>
          <c:showSerName val="0"/>
          <c:showPercent val="0"/>
          <c:showBubbleSize val="0"/>
        </c:dLbls>
        <c:gapWidth val="150"/>
        <c:shape val="box"/>
        <c:axId val="1968160255"/>
        <c:axId val="1970548847"/>
        <c:axId val="1977186495"/>
      </c:bar3DChart>
      <c:catAx>
        <c:axId val="1968160255"/>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70548847"/>
        <c:crosses val="autoZero"/>
        <c:auto val="1"/>
        <c:lblAlgn val="ctr"/>
        <c:lblOffset val="100"/>
        <c:noMultiLvlLbl val="0"/>
      </c:catAx>
      <c:valAx>
        <c:axId val="1970548847"/>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68160255"/>
        <c:crosses val="autoZero"/>
        <c:crossBetween val="between"/>
      </c:valAx>
      <c:serAx>
        <c:axId val="1977186495"/>
        <c:scaling>
          <c:orientation val="minMax"/>
        </c:scaling>
        <c:delete val="1"/>
        <c:axPos val="b"/>
        <c:majorTickMark val="none"/>
        <c:minorTickMark val="none"/>
        <c:tickLblPos val="nextTo"/>
        <c:crossAx val="1970548847"/>
        <c:crosses val="autoZero"/>
      </c:ser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ZA"/>
              <a:t>Security Costs (R/m</a:t>
            </a:r>
            <a:r>
              <a:rPr lang="en-ZA" baseline="30000"/>
              <a:t>2</a:t>
            </a:r>
            <a:r>
              <a:rPr lang="en-ZA"/>
              <a:t> GFA)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'Cleaning and Waste'!$I$13</c:f>
              <c:strCache>
                <c:ptCount val="1"/>
                <c:pt idx="0">
                  <c:v>R/m2 GFA</c:v>
                </c:pt>
              </c:strCache>
            </c:strRef>
          </c:tx>
          <c:spPr>
            <a:solidFill>
              <a:schemeClr val="accent1"/>
            </a:solidFill>
            <a:ln>
              <a:noFill/>
            </a:ln>
            <a:effectLst/>
          </c:spPr>
          <c:invertIfNegative val="0"/>
          <c:dPt>
            <c:idx val="0"/>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01-5345-4B56-92BB-600FDB670AE3}"/>
              </c:ext>
            </c:extLst>
          </c:dPt>
          <c:dPt>
            <c:idx val="1"/>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03-5345-4B56-92BB-600FDB670AE3}"/>
              </c:ext>
            </c:extLst>
          </c:dPt>
          <c:dPt>
            <c:idx val="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5-5345-4B56-92BB-600FDB670AE3}"/>
              </c:ext>
            </c:extLst>
          </c:dPt>
          <c:cat>
            <c:strRef>
              <c:f>'General Statistical Data'!$A$16:$A$18</c:f>
              <c:strCache>
                <c:ptCount val="3"/>
                <c:pt idx="0">
                  <c:v>Stellenbosch University</c:v>
                </c:pt>
                <c:pt idx="1">
                  <c:v>University of Pretoria</c:v>
                </c:pt>
                <c:pt idx="2">
                  <c:v>University of South Africa</c:v>
                </c:pt>
              </c:strCache>
            </c:strRef>
          </c:cat>
          <c:val>
            <c:numRef>
              <c:f>'Grounds Maintenance'!$F$22:$F$24</c:f>
              <c:numCache>
                <c:formatCode>"R"\ #\ ##0</c:formatCode>
                <c:ptCount val="3"/>
                <c:pt idx="0">
                  <c:v>16503.114183691174</c:v>
                </c:pt>
                <c:pt idx="1">
                  <c:v>76001.913366336637</c:v>
                </c:pt>
                <c:pt idx="2">
                  <c:v>21.294524723419027</c:v>
                </c:pt>
              </c:numCache>
            </c:numRef>
          </c:val>
          <c:extLst>
            <c:ext xmlns:c16="http://schemas.microsoft.com/office/drawing/2014/chart" uri="{C3380CC4-5D6E-409C-BE32-E72D297353CC}">
              <c16:uniqueId val="{00000006-5345-4B56-92BB-600FDB670AE3}"/>
            </c:ext>
          </c:extLst>
        </c:ser>
        <c:dLbls>
          <c:showLegendKey val="0"/>
          <c:showVal val="0"/>
          <c:showCatName val="0"/>
          <c:showSerName val="0"/>
          <c:showPercent val="0"/>
          <c:showBubbleSize val="0"/>
        </c:dLbls>
        <c:gapWidth val="150"/>
        <c:axId val="1762778079"/>
        <c:axId val="1826620415"/>
      </c:barChart>
      <c:lineChart>
        <c:grouping val="standard"/>
        <c:varyColors val="0"/>
        <c:ser>
          <c:idx val="2"/>
          <c:order val="1"/>
          <c:tx>
            <c:strRef>
              <c:f>'General Statistical Data'!$K$11:$K$13</c:f>
              <c:strCache>
                <c:ptCount val="3"/>
                <c:pt idx="0">
                  <c:v>Median</c:v>
                </c:pt>
              </c:strCache>
            </c:strRef>
          </c:tx>
          <c:spPr>
            <a:ln w="28575" cap="rnd">
              <a:solidFill>
                <a:srgbClr val="FFFF00"/>
              </a:solidFill>
              <a:prstDash val="dashDot"/>
              <a:round/>
            </a:ln>
            <a:effectLst/>
          </c:spPr>
          <c:marker>
            <c:symbol val="none"/>
          </c:marker>
          <c:val>
            <c:numRef>
              <c:f>'Grounds Maintenance'!$H$22:$H$24</c:f>
              <c:numCache>
                <c:formatCode>"R"\ #\ ##0.00</c:formatCode>
                <c:ptCount val="3"/>
                <c:pt idx="0">
                  <c:v>16503.114183691174</c:v>
                </c:pt>
                <c:pt idx="1">
                  <c:v>16503.114183691174</c:v>
                </c:pt>
                <c:pt idx="2">
                  <c:v>16503.114183691174</c:v>
                </c:pt>
              </c:numCache>
            </c:numRef>
          </c:val>
          <c:smooth val="0"/>
          <c:extLst>
            <c:ext xmlns:c16="http://schemas.microsoft.com/office/drawing/2014/chart" uri="{C3380CC4-5D6E-409C-BE32-E72D297353CC}">
              <c16:uniqueId val="{00000007-5345-4B56-92BB-600FDB670AE3}"/>
            </c:ext>
          </c:extLst>
        </c:ser>
        <c:ser>
          <c:idx val="1"/>
          <c:order val="2"/>
          <c:tx>
            <c:strRef>
              <c:f>'General Statistical Data'!$J$11:$J$13</c:f>
              <c:strCache>
                <c:ptCount val="3"/>
                <c:pt idx="0">
                  <c:v>Mean</c:v>
                </c:pt>
              </c:strCache>
            </c:strRef>
          </c:tx>
          <c:spPr>
            <a:ln w="28575" cap="rnd">
              <a:solidFill>
                <a:schemeClr val="accent2"/>
              </a:solidFill>
              <a:round/>
            </a:ln>
            <a:effectLst/>
          </c:spPr>
          <c:marker>
            <c:symbol val="none"/>
          </c:marker>
          <c:cat>
            <c:strRef>
              <c:f>'General Statistical Data'!$A$16:$A$18</c:f>
              <c:strCache>
                <c:ptCount val="3"/>
                <c:pt idx="0">
                  <c:v>Stellenbosch University</c:v>
                </c:pt>
                <c:pt idx="1">
                  <c:v>University of Pretoria</c:v>
                </c:pt>
                <c:pt idx="2">
                  <c:v>University of South Africa</c:v>
                </c:pt>
              </c:strCache>
            </c:strRef>
          </c:cat>
          <c:val>
            <c:numRef>
              <c:f>'Grounds Maintenance'!$G$22:$G$24</c:f>
              <c:numCache>
                <c:formatCode>"R"\ #\ ##0.00</c:formatCode>
                <c:ptCount val="3"/>
                <c:pt idx="0">
                  <c:v>30842.107358250407</c:v>
                </c:pt>
                <c:pt idx="1">
                  <c:v>30842.107358250407</c:v>
                </c:pt>
                <c:pt idx="2">
                  <c:v>30842.107358250407</c:v>
                </c:pt>
              </c:numCache>
            </c:numRef>
          </c:val>
          <c:smooth val="0"/>
          <c:extLst>
            <c:ext xmlns:c16="http://schemas.microsoft.com/office/drawing/2014/chart" uri="{C3380CC4-5D6E-409C-BE32-E72D297353CC}">
              <c16:uniqueId val="{00000008-5345-4B56-92BB-600FDB670AE3}"/>
            </c:ext>
          </c:extLst>
        </c:ser>
        <c:dLbls>
          <c:showLegendKey val="0"/>
          <c:showVal val="0"/>
          <c:showCatName val="0"/>
          <c:showSerName val="0"/>
          <c:showPercent val="0"/>
          <c:showBubbleSize val="0"/>
        </c:dLbls>
        <c:marker val="1"/>
        <c:smooth val="0"/>
        <c:axId val="1762778079"/>
        <c:axId val="1826620415"/>
      </c:lineChart>
      <c:catAx>
        <c:axId val="1762778079"/>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26620415"/>
        <c:crosses val="autoZero"/>
        <c:auto val="1"/>
        <c:lblAlgn val="ctr"/>
        <c:lblOffset val="100"/>
        <c:noMultiLvlLbl val="0"/>
      </c:catAx>
      <c:valAx>
        <c:axId val="182662041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62778079"/>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ZA"/>
              <a:t>Energy Consumption (GJ/m</a:t>
            </a:r>
            <a:r>
              <a:rPr lang="en-ZA" baseline="30000"/>
              <a:t>2</a:t>
            </a:r>
            <a:r>
              <a:rPr lang="en-ZA" baseline="0"/>
              <a:t> GFA)</a:t>
            </a:r>
            <a:endParaRPr lang="en-ZA"/>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Energy!$E$19</c:f>
              <c:strCache>
                <c:ptCount val="1"/>
                <c:pt idx="0">
                  <c:v>GJ/m2 GFA</c:v>
                </c:pt>
              </c:strCache>
            </c:strRef>
          </c:tx>
          <c:spPr>
            <a:solidFill>
              <a:schemeClr val="accent1"/>
            </a:solidFill>
            <a:ln>
              <a:noFill/>
            </a:ln>
            <a:effectLst/>
          </c:spPr>
          <c:invertIfNegative val="0"/>
          <c:dPt>
            <c:idx val="0"/>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01-CE19-440D-B755-AFD8CD82804B}"/>
              </c:ext>
            </c:extLst>
          </c:dPt>
          <c:dPt>
            <c:idx val="1"/>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03-CE19-440D-B755-AFD8CD82804B}"/>
              </c:ext>
            </c:extLst>
          </c:dPt>
          <c:dPt>
            <c:idx val="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5-CE19-440D-B755-AFD8CD82804B}"/>
              </c:ext>
            </c:extLst>
          </c:dPt>
          <c:cat>
            <c:strRef>
              <c:f>'General Statistical Data'!$A$16:$A$18</c:f>
              <c:strCache>
                <c:ptCount val="3"/>
                <c:pt idx="0">
                  <c:v>Stellenbosch University</c:v>
                </c:pt>
                <c:pt idx="1">
                  <c:v>University of Pretoria</c:v>
                </c:pt>
                <c:pt idx="2">
                  <c:v>University of South Africa</c:v>
                </c:pt>
              </c:strCache>
            </c:strRef>
          </c:cat>
          <c:val>
            <c:numRef>
              <c:f>Energy!$E$21:$E$23</c:f>
              <c:numCache>
                <c:formatCode>#,##0.00</c:formatCode>
                <c:ptCount val="3"/>
                <c:pt idx="0">
                  <c:v>0.42886013839312165</c:v>
                </c:pt>
                <c:pt idx="1">
                  <c:v>0.36205118296658739</c:v>
                </c:pt>
                <c:pt idx="2">
                  <c:v>8.2554527171166647</c:v>
                </c:pt>
              </c:numCache>
            </c:numRef>
          </c:val>
          <c:extLst>
            <c:ext xmlns:c16="http://schemas.microsoft.com/office/drawing/2014/chart" uri="{C3380CC4-5D6E-409C-BE32-E72D297353CC}">
              <c16:uniqueId val="{00000006-CE19-440D-B755-AFD8CD82804B}"/>
            </c:ext>
          </c:extLst>
        </c:ser>
        <c:dLbls>
          <c:showLegendKey val="0"/>
          <c:showVal val="0"/>
          <c:showCatName val="0"/>
          <c:showSerName val="0"/>
          <c:showPercent val="0"/>
          <c:showBubbleSize val="0"/>
        </c:dLbls>
        <c:gapWidth val="150"/>
        <c:axId val="1762778079"/>
        <c:axId val="1826620415"/>
      </c:barChart>
      <c:lineChart>
        <c:grouping val="standard"/>
        <c:varyColors val="0"/>
        <c:ser>
          <c:idx val="2"/>
          <c:order val="1"/>
          <c:tx>
            <c:strRef>
              <c:f>'General Statistical Data'!$K$11:$K$13</c:f>
              <c:strCache>
                <c:ptCount val="3"/>
                <c:pt idx="0">
                  <c:v>Median</c:v>
                </c:pt>
              </c:strCache>
            </c:strRef>
          </c:tx>
          <c:spPr>
            <a:ln w="28575" cap="rnd">
              <a:solidFill>
                <a:srgbClr val="FFFF00"/>
              </a:solidFill>
              <a:prstDash val="dashDot"/>
              <a:round/>
            </a:ln>
            <a:effectLst/>
          </c:spPr>
          <c:marker>
            <c:symbol val="none"/>
          </c:marker>
          <c:val>
            <c:numRef>
              <c:f>Energy!$K$21:$K$23</c:f>
              <c:numCache>
                <c:formatCode>"R"\ #\ ##0.00</c:formatCode>
                <c:ptCount val="3"/>
                <c:pt idx="0">
                  <c:v>0.42886013839312165</c:v>
                </c:pt>
                <c:pt idx="1">
                  <c:v>0.42886013839312165</c:v>
                </c:pt>
                <c:pt idx="2">
                  <c:v>0.42886013839312165</c:v>
                </c:pt>
              </c:numCache>
            </c:numRef>
          </c:val>
          <c:smooth val="0"/>
          <c:extLst>
            <c:ext xmlns:c16="http://schemas.microsoft.com/office/drawing/2014/chart" uri="{C3380CC4-5D6E-409C-BE32-E72D297353CC}">
              <c16:uniqueId val="{00000008-CE19-440D-B755-AFD8CD82804B}"/>
            </c:ext>
          </c:extLst>
        </c:ser>
        <c:ser>
          <c:idx val="1"/>
          <c:order val="2"/>
          <c:tx>
            <c:strRef>
              <c:f>'General Statistical Data'!$J$11:$J$13</c:f>
              <c:strCache>
                <c:ptCount val="3"/>
                <c:pt idx="0">
                  <c:v>Mean</c:v>
                </c:pt>
              </c:strCache>
            </c:strRef>
          </c:tx>
          <c:spPr>
            <a:ln w="28575" cap="rnd">
              <a:solidFill>
                <a:schemeClr val="accent2"/>
              </a:solidFill>
              <a:round/>
            </a:ln>
            <a:effectLst/>
          </c:spPr>
          <c:marker>
            <c:symbol val="none"/>
          </c:marker>
          <c:cat>
            <c:strRef>
              <c:f>'General Statistical Data'!$A$16:$A$18</c:f>
              <c:strCache>
                <c:ptCount val="3"/>
                <c:pt idx="0">
                  <c:v>Stellenbosch University</c:v>
                </c:pt>
                <c:pt idx="1">
                  <c:v>University of Pretoria</c:v>
                </c:pt>
                <c:pt idx="2">
                  <c:v>University of South Africa</c:v>
                </c:pt>
              </c:strCache>
            </c:strRef>
          </c:cat>
          <c:val>
            <c:numRef>
              <c:f>Energy!$J$21:$J$23</c:f>
              <c:numCache>
                <c:formatCode>"R"\ #\ ##0.00</c:formatCode>
                <c:ptCount val="3"/>
                <c:pt idx="0">
                  <c:v>3.0154546794921244</c:v>
                </c:pt>
                <c:pt idx="1">
                  <c:v>3.0154546794921244</c:v>
                </c:pt>
                <c:pt idx="2">
                  <c:v>3.0154546794921244</c:v>
                </c:pt>
              </c:numCache>
            </c:numRef>
          </c:val>
          <c:smooth val="0"/>
          <c:extLst>
            <c:ext xmlns:c16="http://schemas.microsoft.com/office/drawing/2014/chart" uri="{C3380CC4-5D6E-409C-BE32-E72D297353CC}">
              <c16:uniqueId val="{00000007-CE19-440D-B755-AFD8CD82804B}"/>
            </c:ext>
          </c:extLst>
        </c:ser>
        <c:dLbls>
          <c:showLegendKey val="0"/>
          <c:showVal val="0"/>
          <c:showCatName val="0"/>
          <c:showSerName val="0"/>
          <c:showPercent val="0"/>
          <c:showBubbleSize val="0"/>
        </c:dLbls>
        <c:marker val="1"/>
        <c:smooth val="0"/>
        <c:axId val="1762778079"/>
        <c:axId val="1826620415"/>
      </c:lineChart>
      <c:catAx>
        <c:axId val="1762778079"/>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26620415"/>
        <c:crosses val="autoZero"/>
        <c:auto val="1"/>
        <c:lblAlgn val="ctr"/>
        <c:lblOffset val="100"/>
        <c:noMultiLvlLbl val="0"/>
      </c:catAx>
      <c:valAx>
        <c:axId val="182662041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62778079"/>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ZA"/>
              <a:t>Energy Consumption (GJ/m</a:t>
            </a:r>
            <a:r>
              <a:rPr lang="en-ZA" baseline="30000"/>
              <a:t>2</a:t>
            </a:r>
            <a:r>
              <a:rPr lang="en-ZA" baseline="0"/>
              <a:t> EFTS)</a:t>
            </a:r>
            <a:endParaRPr lang="en-ZA"/>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Energy!$F$19</c:f>
              <c:strCache>
                <c:ptCount val="1"/>
                <c:pt idx="0">
                  <c:v>GJ/EFTS</c:v>
                </c:pt>
              </c:strCache>
            </c:strRef>
          </c:tx>
          <c:spPr>
            <a:solidFill>
              <a:schemeClr val="accent1"/>
            </a:solidFill>
            <a:ln>
              <a:noFill/>
            </a:ln>
            <a:effectLst/>
          </c:spPr>
          <c:invertIfNegative val="0"/>
          <c:dPt>
            <c:idx val="0"/>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01-AA87-47FD-B443-5B258CB6FC63}"/>
              </c:ext>
            </c:extLst>
          </c:dPt>
          <c:dPt>
            <c:idx val="1"/>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03-AA87-47FD-B443-5B258CB6FC63}"/>
              </c:ext>
            </c:extLst>
          </c:dPt>
          <c:dPt>
            <c:idx val="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5-AA87-47FD-B443-5B258CB6FC63}"/>
              </c:ext>
            </c:extLst>
          </c:dPt>
          <c:cat>
            <c:strRef>
              <c:f>'General Statistical Data'!$A$16:$A$18</c:f>
              <c:strCache>
                <c:ptCount val="3"/>
                <c:pt idx="0">
                  <c:v>Stellenbosch University</c:v>
                </c:pt>
                <c:pt idx="1">
                  <c:v>University of Pretoria</c:v>
                </c:pt>
                <c:pt idx="2">
                  <c:v>University of South Africa</c:v>
                </c:pt>
              </c:strCache>
            </c:strRef>
          </c:cat>
          <c:val>
            <c:numRef>
              <c:f>Energy!$F$21:$F$23</c:f>
              <c:numCache>
                <c:formatCode>#\ ##0.0</c:formatCode>
                <c:ptCount val="3"/>
                <c:pt idx="0">
                  <c:v>11.275915789473684</c:v>
                </c:pt>
                <c:pt idx="1">
                  <c:v>6.7431069437404965</c:v>
                </c:pt>
                <c:pt idx="2">
                  <c:v>1.2721868132155298</c:v>
                </c:pt>
              </c:numCache>
            </c:numRef>
          </c:val>
          <c:extLst>
            <c:ext xmlns:c16="http://schemas.microsoft.com/office/drawing/2014/chart" uri="{C3380CC4-5D6E-409C-BE32-E72D297353CC}">
              <c16:uniqueId val="{00000006-AA87-47FD-B443-5B258CB6FC63}"/>
            </c:ext>
          </c:extLst>
        </c:ser>
        <c:dLbls>
          <c:showLegendKey val="0"/>
          <c:showVal val="0"/>
          <c:showCatName val="0"/>
          <c:showSerName val="0"/>
          <c:showPercent val="0"/>
          <c:showBubbleSize val="0"/>
        </c:dLbls>
        <c:gapWidth val="150"/>
        <c:axId val="1762778079"/>
        <c:axId val="1826620415"/>
      </c:barChart>
      <c:lineChart>
        <c:grouping val="standard"/>
        <c:varyColors val="0"/>
        <c:ser>
          <c:idx val="2"/>
          <c:order val="1"/>
          <c:tx>
            <c:strRef>
              <c:f>'General Statistical Data'!$K$11:$K$13</c:f>
              <c:strCache>
                <c:ptCount val="3"/>
                <c:pt idx="0">
                  <c:v>Median</c:v>
                </c:pt>
              </c:strCache>
            </c:strRef>
          </c:tx>
          <c:spPr>
            <a:ln w="28575" cap="rnd">
              <a:solidFill>
                <a:srgbClr val="FFFF00"/>
              </a:solidFill>
              <a:prstDash val="dashDot"/>
              <a:round/>
            </a:ln>
            <a:effectLst/>
          </c:spPr>
          <c:marker>
            <c:symbol val="none"/>
          </c:marker>
          <c:val>
            <c:numRef>
              <c:f>Energy!$M$21:$M$23</c:f>
              <c:numCache>
                <c:formatCode>"R"\ #\ ##0.00</c:formatCode>
                <c:ptCount val="3"/>
                <c:pt idx="0">
                  <c:v>6.7431069437404965</c:v>
                </c:pt>
                <c:pt idx="1">
                  <c:v>6.7431069437404965</c:v>
                </c:pt>
                <c:pt idx="2">
                  <c:v>6.7431069437404965</c:v>
                </c:pt>
              </c:numCache>
            </c:numRef>
          </c:val>
          <c:smooth val="0"/>
          <c:extLst>
            <c:ext xmlns:c16="http://schemas.microsoft.com/office/drawing/2014/chart" uri="{C3380CC4-5D6E-409C-BE32-E72D297353CC}">
              <c16:uniqueId val="{00000007-AA87-47FD-B443-5B258CB6FC63}"/>
            </c:ext>
          </c:extLst>
        </c:ser>
        <c:ser>
          <c:idx val="1"/>
          <c:order val="2"/>
          <c:tx>
            <c:strRef>
              <c:f>'General Statistical Data'!$J$11:$J$13</c:f>
              <c:strCache>
                <c:ptCount val="3"/>
                <c:pt idx="0">
                  <c:v>Mean</c:v>
                </c:pt>
              </c:strCache>
            </c:strRef>
          </c:tx>
          <c:spPr>
            <a:ln w="28575" cap="rnd">
              <a:solidFill>
                <a:schemeClr val="accent2"/>
              </a:solidFill>
              <a:round/>
            </a:ln>
            <a:effectLst/>
          </c:spPr>
          <c:marker>
            <c:symbol val="none"/>
          </c:marker>
          <c:cat>
            <c:strRef>
              <c:f>'General Statistical Data'!$A$16:$A$18</c:f>
              <c:strCache>
                <c:ptCount val="3"/>
                <c:pt idx="0">
                  <c:v>Stellenbosch University</c:v>
                </c:pt>
                <c:pt idx="1">
                  <c:v>University of Pretoria</c:v>
                </c:pt>
                <c:pt idx="2">
                  <c:v>University of South Africa</c:v>
                </c:pt>
              </c:strCache>
            </c:strRef>
          </c:cat>
          <c:val>
            <c:numRef>
              <c:f>Energy!$L$21:$L$23</c:f>
              <c:numCache>
                <c:formatCode>"R"\ #\ ##0.00</c:formatCode>
                <c:ptCount val="3"/>
                <c:pt idx="0">
                  <c:v>6.4304031821432366</c:v>
                </c:pt>
                <c:pt idx="1">
                  <c:v>6.4304031821432366</c:v>
                </c:pt>
                <c:pt idx="2">
                  <c:v>6.4304031821432366</c:v>
                </c:pt>
              </c:numCache>
            </c:numRef>
          </c:val>
          <c:smooth val="0"/>
          <c:extLst>
            <c:ext xmlns:c16="http://schemas.microsoft.com/office/drawing/2014/chart" uri="{C3380CC4-5D6E-409C-BE32-E72D297353CC}">
              <c16:uniqueId val="{00000008-AA87-47FD-B443-5B258CB6FC63}"/>
            </c:ext>
          </c:extLst>
        </c:ser>
        <c:dLbls>
          <c:showLegendKey val="0"/>
          <c:showVal val="0"/>
          <c:showCatName val="0"/>
          <c:showSerName val="0"/>
          <c:showPercent val="0"/>
          <c:showBubbleSize val="0"/>
        </c:dLbls>
        <c:marker val="1"/>
        <c:smooth val="0"/>
        <c:axId val="1762778079"/>
        <c:axId val="1826620415"/>
      </c:lineChart>
      <c:catAx>
        <c:axId val="1762778079"/>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26620415"/>
        <c:crosses val="autoZero"/>
        <c:auto val="1"/>
        <c:lblAlgn val="ctr"/>
        <c:lblOffset val="100"/>
        <c:noMultiLvlLbl val="0"/>
      </c:catAx>
      <c:valAx>
        <c:axId val="182662041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62778079"/>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ZA"/>
              <a:t>Energy Costs (R/m</a:t>
            </a:r>
            <a:r>
              <a:rPr lang="en-ZA" baseline="30000"/>
              <a:t>2</a:t>
            </a:r>
            <a:r>
              <a:rPr lang="en-ZA" baseline="0"/>
              <a:t> GFA)</a:t>
            </a:r>
            <a:endParaRPr lang="en-ZA"/>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Energy!$G$19</c:f>
              <c:strCache>
                <c:ptCount val="1"/>
                <c:pt idx="0">
                  <c:v>R/m2 GFA</c:v>
                </c:pt>
              </c:strCache>
            </c:strRef>
          </c:tx>
          <c:spPr>
            <a:solidFill>
              <a:schemeClr val="accent1"/>
            </a:solidFill>
            <a:ln>
              <a:noFill/>
            </a:ln>
            <a:effectLst/>
          </c:spPr>
          <c:invertIfNegative val="0"/>
          <c:dPt>
            <c:idx val="0"/>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01-2570-40E5-9F52-89E7C11C0FD0}"/>
              </c:ext>
            </c:extLst>
          </c:dPt>
          <c:dPt>
            <c:idx val="1"/>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03-2570-40E5-9F52-89E7C11C0FD0}"/>
              </c:ext>
            </c:extLst>
          </c:dPt>
          <c:dPt>
            <c:idx val="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5-2570-40E5-9F52-89E7C11C0FD0}"/>
              </c:ext>
            </c:extLst>
          </c:dPt>
          <c:cat>
            <c:strRef>
              <c:f>'General Statistical Data'!$A$16:$A$18</c:f>
              <c:strCache>
                <c:ptCount val="3"/>
                <c:pt idx="0">
                  <c:v>Stellenbosch University</c:v>
                </c:pt>
                <c:pt idx="1">
                  <c:v>University of Pretoria</c:v>
                </c:pt>
                <c:pt idx="2">
                  <c:v>University of South Africa</c:v>
                </c:pt>
              </c:strCache>
            </c:strRef>
          </c:cat>
          <c:val>
            <c:numRef>
              <c:f>Energy!$G$21:$G$23</c:f>
              <c:numCache>
                <c:formatCode>"R"\ #\ ##0.00</c:formatCode>
                <c:ptCount val="3"/>
                <c:pt idx="0">
                  <c:v>148.85009280121963</c:v>
                </c:pt>
                <c:pt idx="1">
                  <c:v>133.92676057104603</c:v>
                </c:pt>
                <c:pt idx="2">
                  <c:v>308.120724564444</c:v>
                </c:pt>
              </c:numCache>
            </c:numRef>
          </c:val>
          <c:extLst>
            <c:ext xmlns:c16="http://schemas.microsoft.com/office/drawing/2014/chart" uri="{C3380CC4-5D6E-409C-BE32-E72D297353CC}">
              <c16:uniqueId val="{00000006-2570-40E5-9F52-89E7C11C0FD0}"/>
            </c:ext>
          </c:extLst>
        </c:ser>
        <c:dLbls>
          <c:showLegendKey val="0"/>
          <c:showVal val="0"/>
          <c:showCatName val="0"/>
          <c:showSerName val="0"/>
          <c:showPercent val="0"/>
          <c:showBubbleSize val="0"/>
        </c:dLbls>
        <c:gapWidth val="150"/>
        <c:axId val="1762778079"/>
        <c:axId val="1826620415"/>
      </c:barChart>
      <c:lineChart>
        <c:grouping val="standard"/>
        <c:varyColors val="0"/>
        <c:ser>
          <c:idx val="2"/>
          <c:order val="1"/>
          <c:tx>
            <c:strRef>
              <c:f>'General Statistical Data'!$K$11:$K$13</c:f>
              <c:strCache>
                <c:ptCount val="3"/>
                <c:pt idx="0">
                  <c:v>Median</c:v>
                </c:pt>
              </c:strCache>
            </c:strRef>
          </c:tx>
          <c:spPr>
            <a:ln w="28575" cap="rnd">
              <a:solidFill>
                <a:srgbClr val="FFFF00"/>
              </a:solidFill>
              <a:prstDash val="dashDot"/>
              <a:round/>
            </a:ln>
            <a:effectLst/>
          </c:spPr>
          <c:marker>
            <c:symbol val="none"/>
          </c:marker>
          <c:val>
            <c:numRef>
              <c:f>Energy!$O$21:$O$23</c:f>
              <c:numCache>
                <c:formatCode>"R"\ #\ ##0.00</c:formatCode>
                <c:ptCount val="3"/>
                <c:pt idx="0">
                  <c:v>148.85009280121963</c:v>
                </c:pt>
                <c:pt idx="1">
                  <c:v>148.85009280121963</c:v>
                </c:pt>
                <c:pt idx="2">
                  <c:v>148.85009280121963</c:v>
                </c:pt>
              </c:numCache>
            </c:numRef>
          </c:val>
          <c:smooth val="0"/>
          <c:extLst>
            <c:ext xmlns:c16="http://schemas.microsoft.com/office/drawing/2014/chart" uri="{C3380CC4-5D6E-409C-BE32-E72D297353CC}">
              <c16:uniqueId val="{00000007-2570-40E5-9F52-89E7C11C0FD0}"/>
            </c:ext>
          </c:extLst>
        </c:ser>
        <c:ser>
          <c:idx val="1"/>
          <c:order val="2"/>
          <c:tx>
            <c:strRef>
              <c:f>'General Statistical Data'!$J$11:$J$13</c:f>
              <c:strCache>
                <c:ptCount val="3"/>
                <c:pt idx="0">
                  <c:v>Mean</c:v>
                </c:pt>
              </c:strCache>
            </c:strRef>
          </c:tx>
          <c:spPr>
            <a:ln w="28575" cap="rnd">
              <a:solidFill>
                <a:schemeClr val="accent2"/>
              </a:solidFill>
              <a:round/>
            </a:ln>
            <a:effectLst/>
          </c:spPr>
          <c:marker>
            <c:symbol val="none"/>
          </c:marker>
          <c:cat>
            <c:strRef>
              <c:f>'General Statistical Data'!$A$16:$A$18</c:f>
              <c:strCache>
                <c:ptCount val="3"/>
                <c:pt idx="0">
                  <c:v>Stellenbosch University</c:v>
                </c:pt>
                <c:pt idx="1">
                  <c:v>University of Pretoria</c:v>
                </c:pt>
                <c:pt idx="2">
                  <c:v>University of South Africa</c:v>
                </c:pt>
              </c:strCache>
            </c:strRef>
          </c:cat>
          <c:val>
            <c:numRef>
              <c:f>Energy!$N$21:$N$23</c:f>
              <c:numCache>
                <c:formatCode>"R"\ #\ ##0.00</c:formatCode>
                <c:ptCount val="3"/>
                <c:pt idx="0">
                  <c:v>196.96585931223657</c:v>
                </c:pt>
                <c:pt idx="1">
                  <c:v>196.96585931223657</c:v>
                </c:pt>
                <c:pt idx="2">
                  <c:v>196.96585931223657</c:v>
                </c:pt>
              </c:numCache>
            </c:numRef>
          </c:val>
          <c:smooth val="0"/>
          <c:extLst>
            <c:ext xmlns:c16="http://schemas.microsoft.com/office/drawing/2014/chart" uri="{C3380CC4-5D6E-409C-BE32-E72D297353CC}">
              <c16:uniqueId val="{00000008-2570-40E5-9F52-89E7C11C0FD0}"/>
            </c:ext>
          </c:extLst>
        </c:ser>
        <c:dLbls>
          <c:showLegendKey val="0"/>
          <c:showVal val="0"/>
          <c:showCatName val="0"/>
          <c:showSerName val="0"/>
          <c:showPercent val="0"/>
          <c:showBubbleSize val="0"/>
        </c:dLbls>
        <c:marker val="1"/>
        <c:smooth val="0"/>
        <c:axId val="1762778079"/>
        <c:axId val="1826620415"/>
      </c:lineChart>
      <c:catAx>
        <c:axId val="1762778079"/>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26620415"/>
        <c:crosses val="autoZero"/>
        <c:auto val="1"/>
        <c:lblAlgn val="ctr"/>
        <c:lblOffset val="100"/>
        <c:noMultiLvlLbl val="0"/>
      </c:catAx>
      <c:valAx>
        <c:axId val="182662041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62778079"/>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ZA"/>
              <a:t>Energy Costs (R/m</a:t>
            </a:r>
            <a:r>
              <a:rPr lang="en-ZA" baseline="30000"/>
              <a:t>2</a:t>
            </a:r>
            <a:r>
              <a:rPr lang="en-ZA" baseline="0"/>
              <a:t> EFTS)</a:t>
            </a:r>
            <a:endParaRPr lang="en-ZA"/>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Energy!$H$19</c:f>
              <c:strCache>
                <c:ptCount val="1"/>
                <c:pt idx="0">
                  <c:v>R/EFTS</c:v>
                </c:pt>
              </c:strCache>
            </c:strRef>
          </c:tx>
          <c:spPr>
            <a:solidFill>
              <a:schemeClr val="accent1"/>
            </a:solidFill>
            <a:ln>
              <a:noFill/>
            </a:ln>
            <a:effectLst/>
          </c:spPr>
          <c:invertIfNegative val="0"/>
          <c:dPt>
            <c:idx val="0"/>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01-41F1-4820-A184-F80429D5C3AF}"/>
              </c:ext>
            </c:extLst>
          </c:dPt>
          <c:dPt>
            <c:idx val="1"/>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03-41F1-4820-A184-F80429D5C3AF}"/>
              </c:ext>
            </c:extLst>
          </c:dPt>
          <c:dPt>
            <c:idx val="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5-41F1-4820-A184-F80429D5C3AF}"/>
              </c:ext>
            </c:extLst>
          </c:dPt>
          <c:cat>
            <c:strRef>
              <c:f>'General Statistical Data'!$A$16:$A$18</c:f>
              <c:strCache>
                <c:ptCount val="3"/>
                <c:pt idx="0">
                  <c:v>Stellenbosch University</c:v>
                </c:pt>
                <c:pt idx="1">
                  <c:v>University of Pretoria</c:v>
                </c:pt>
                <c:pt idx="2">
                  <c:v>University of South Africa</c:v>
                </c:pt>
              </c:strCache>
            </c:strRef>
          </c:cat>
          <c:val>
            <c:numRef>
              <c:f>Energy!$H$21:$H$23</c:f>
              <c:numCache>
                <c:formatCode>"R"\ #\ ##0</c:formatCode>
                <c:ptCount val="3"/>
                <c:pt idx="0">
                  <c:v>3913.6794526315789</c:v>
                </c:pt>
                <c:pt idx="1">
                  <c:v>2494.3502787633047</c:v>
                </c:pt>
                <c:pt idx="2">
                  <c:v>47.482207954091109</c:v>
                </c:pt>
              </c:numCache>
            </c:numRef>
          </c:val>
          <c:extLst>
            <c:ext xmlns:c16="http://schemas.microsoft.com/office/drawing/2014/chart" uri="{C3380CC4-5D6E-409C-BE32-E72D297353CC}">
              <c16:uniqueId val="{00000006-41F1-4820-A184-F80429D5C3AF}"/>
            </c:ext>
          </c:extLst>
        </c:ser>
        <c:dLbls>
          <c:showLegendKey val="0"/>
          <c:showVal val="0"/>
          <c:showCatName val="0"/>
          <c:showSerName val="0"/>
          <c:showPercent val="0"/>
          <c:showBubbleSize val="0"/>
        </c:dLbls>
        <c:gapWidth val="150"/>
        <c:axId val="1762778079"/>
        <c:axId val="1826620415"/>
      </c:barChart>
      <c:lineChart>
        <c:grouping val="standard"/>
        <c:varyColors val="0"/>
        <c:ser>
          <c:idx val="2"/>
          <c:order val="1"/>
          <c:tx>
            <c:strRef>
              <c:f>'General Statistical Data'!$K$11:$K$13</c:f>
              <c:strCache>
                <c:ptCount val="3"/>
                <c:pt idx="0">
                  <c:v>Median</c:v>
                </c:pt>
              </c:strCache>
            </c:strRef>
          </c:tx>
          <c:spPr>
            <a:ln w="28575" cap="rnd">
              <a:solidFill>
                <a:srgbClr val="FFFF00"/>
              </a:solidFill>
              <a:prstDash val="dashDot"/>
              <a:round/>
            </a:ln>
            <a:effectLst/>
          </c:spPr>
          <c:marker>
            <c:symbol val="none"/>
          </c:marker>
          <c:val>
            <c:numRef>
              <c:f>Energy!$Q$21:$Q$23</c:f>
              <c:numCache>
                <c:formatCode>"R"\ #\ ##0.00</c:formatCode>
                <c:ptCount val="3"/>
                <c:pt idx="0">
                  <c:v>2494.3502787633047</c:v>
                </c:pt>
                <c:pt idx="1">
                  <c:v>2494.3502787633047</c:v>
                </c:pt>
                <c:pt idx="2">
                  <c:v>2494.3502787633047</c:v>
                </c:pt>
              </c:numCache>
            </c:numRef>
          </c:val>
          <c:smooth val="0"/>
          <c:extLst>
            <c:ext xmlns:c16="http://schemas.microsoft.com/office/drawing/2014/chart" uri="{C3380CC4-5D6E-409C-BE32-E72D297353CC}">
              <c16:uniqueId val="{00000007-41F1-4820-A184-F80429D5C3AF}"/>
            </c:ext>
          </c:extLst>
        </c:ser>
        <c:ser>
          <c:idx val="1"/>
          <c:order val="2"/>
          <c:tx>
            <c:strRef>
              <c:f>'General Statistical Data'!$J$11:$J$13</c:f>
              <c:strCache>
                <c:ptCount val="3"/>
                <c:pt idx="0">
                  <c:v>Mean</c:v>
                </c:pt>
              </c:strCache>
            </c:strRef>
          </c:tx>
          <c:spPr>
            <a:ln w="28575" cap="rnd">
              <a:solidFill>
                <a:schemeClr val="accent2"/>
              </a:solidFill>
              <a:round/>
            </a:ln>
            <a:effectLst/>
          </c:spPr>
          <c:marker>
            <c:symbol val="none"/>
          </c:marker>
          <c:cat>
            <c:strRef>
              <c:f>'General Statistical Data'!$A$16:$A$18</c:f>
              <c:strCache>
                <c:ptCount val="3"/>
                <c:pt idx="0">
                  <c:v>Stellenbosch University</c:v>
                </c:pt>
                <c:pt idx="1">
                  <c:v>University of Pretoria</c:v>
                </c:pt>
                <c:pt idx="2">
                  <c:v>University of South Africa</c:v>
                </c:pt>
              </c:strCache>
            </c:strRef>
          </c:cat>
          <c:val>
            <c:numRef>
              <c:f>Energy!$P$21:$P$23</c:f>
              <c:numCache>
                <c:formatCode>"R"\ #\ ##0.00</c:formatCode>
                <c:ptCount val="3"/>
                <c:pt idx="0">
                  <c:v>2151.8373131163248</c:v>
                </c:pt>
                <c:pt idx="1">
                  <c:v>2151.8373131163248</c:v>
                </c:pt>
                <c:pt idx="2">
                  <c:v>2151.8373131163248</c:v>
                </c:pt>
              </c:numCache>
            </c:numRef>
          </c:val>
          <c:smooth val="0"/>
          <c:extLst>
            <c:ext xmlns:c16="http://schemas.microsoft.com/office/drawing/2014/chart" uri="{C3380CC4-5D6E-409C-BE32-E72D297353CC}">
              <c16:uniqueId val="{00000008-41F1-4820-A184-F80429D5C3AF}"/>
            </c:ext>
          </c:extLst>
        </c:ser>
        <c:dLbls>
          <c:showLegendKey val="0"/>
          <c:showVal val="0"/>
          <c:showCatName val="0"/>
          <c:showSerName val="0"/>
          <c:showPercent val="0"/>
          <c:showBubbleSize val="0"/>
        </c:dLbls>
        <c:marker val="1"/>
        <c:smooth val="0"/>
        <c:axId val="1762778079"/>
        <c:axId val="1826620415"/>
      </c:lineChart>
      <c:catAx>
        <c:axId val="1762778079"/>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26620415"/>
        <c:crosses val="autoZero"/>
        <c:auto val="1"/>
        <c:lblAlgn val="ctr"/>
        <c:lblOffset val="100"/>
        <c:noMultiLvlLbl val="0"/>
      </c:catAx>
      <c:valAx>
        <c:axId val="182662041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62778079"/>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ZA"/>
              <a:t>Energy Costs (R/m</a:t>
            </a:r>
            <a:r>
              <a:rPr lang="en-ZA" baseline="30000"/>
              <a:t>2</a:t>
            </a:r>
            <a:r>
              <a:rPr lang="en-ZA" baseline="0"/>
              <a:t> GFA)</a:t>
            </a:r>
            <a:endParaRPr lang="en-ZA"/>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Energy!$G$19</c:f>
              <c:strCache>
                <c:ptCount val="1"/>
                <c:pt idx="0">
                  <c:v>R/m2 GFA</c:v>
                </c:pt>
              </c:strCache>
            </c:strRef>
          </c:tx>
          <c:spPr>
            <a:solidFill>
              <a:schemeClr val="accent1"/>
            </a:solidFill>
            <a:ln>
              <a:noFill/>
            </a:ln>
            <a:effectLst/>
          </c:spPr>
          <c:invertIfNegative val="0"/>
          <c:dPt>
            <c:idx val="0"/>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01-62A4-453B-89F2-51D8F64107A4}"/>
              </c:ext>
            </c:extLst>
          </c:dPt>
          <c:dPt>
            <c:idx val="1"/>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03-62A4-453B-89F2-51D8F64107A4}"/>
              </c:ext>
            </c:extLst>
          </c:dPt>
          <c:dPt>
            <c:idx val="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5-62A4-453B-89F2-51D8F64107A4}"/>
              </c:ext>
            </c:extLst>
          </c:dPt>
          <c:cat>
            <c:strRef>
              <c:f>'General Statistical Data'!$A$16:$A$18</c:f>
              <c:strCache>
                <c:ptCount val="3"/>
                <c:pt idx="0">
                  <c:v>Stellenbosch University</c:v>
                </c:pt>
                <c:pt idx="1">
                  <c:v>University of Pretoria</c:v>
                </c:pt>
                <c:pt idx="2">
                  <c:v>University of South Africa</c:v>
                </c:pt>
              </c:strCache>
            </c:strRef>
          </c:cat>
          <c:val>
            <c:numRef>
              <c:f>Energy!$I$21:$I$23</c:f>
              <c:numCache>
                <c:formatCode>#\ ##0.0</c:formatCode>
                <c:ptCount val="3"/>
                <c:pt idx="0">
                  <c:v>124.94990466873037</c:v>
                </c:pt>
                <c:pt idx="1">
                  <c:v>133.16800517131873</c:v>
                </c:pt>
                <c:pt idx="2">
                  <c:v>13.436387396806683</c:v>
                </c:pt>
              </c:numCache>
            </c:numRef>
          </c:val>
          <c:extLst>
            <c:ext xmlns:c16="http://schemas.microsoft.com/office/drawing/2014/chart" uri="{C3380CC4-5D6E-409C-BE32-E72D297353CC}">
              <c16:uniqueId val="{00000006-62A4-453B-89F2-51D8F64107A4}"/>
            </c:ext>
          </c:extLst>
        </c:ser>
        <c:dLbls>
          <c:showLegendKey val="0"/>
          <c:showVal val="0"/>
          <c:showCatName val="0"/>
          <c:showSerName val="0"/>
          <c:showPercent val="0"/>
          <c:showBubbleSize val="0"/>
        </c:dLbls>
        <c:gapWidth val="150"/>
        <c:axId val="1762778079"/>
        <c:axId val="1826620415"/>
      </c:barChart>
      <c:lineChart>
        <c:grouping val="standard"/>
        <c:varyColors val="0"/>
        <c:ser>
          <c:idx val="2"/>
          <c:order val="1"/>
          <c:tx>
            <c:strRef>
              <c:f>'General Statistical Data'!$K$11:$K$13</c:f>
              <c:strCache>
                <c:ptCount val="3"/>
                <c:pt idx="0">
                  <c:v>Median</c:v>
                </c:pt>
              </c:strCache>
            </c:strRef>
          </c:tx>
          <c:spPr>
            <a:ln w="28575" cap="rnd">
              <a:solidFill>
                <a:srgbClr val="FFFF00"/>
              </a:solidFill>
              <a:prstDash val="dashDot"/>
              <a:round/>
            </a:ln>
            <a:effectLst/>
          </c:spPr>
          <c:marker>
            <c:symbol val="none"/>
          </c:marker>
          <c:val>
            <c:numRef>
              <c:f>Energy!$S$21:$S$23</c:f>
              <c:numCache>
                <c:formatCode>"R"\ #\ ##0.00</c:formatCode>
                <c:ptCount val="3"/>
                <c:pt idx="0">
                  <c:v>124.94990466873037</c:v>
                </c:pt>
                <c:pt idx="1">
                  <c:v>124.94990466873037</c:v>
                </c:pt>
                <c:pt idx="2">
                  <c:v>124.94990466873037</c:v>
                </c:pt>
              </c:numCache>
            </c:numRef>
          </c:val>
          <c:smooth val="0"/>
          <c:extLst>
            <c:ext xmlns:c16="http://schemas.microsoft.com/office/drawing/2014/chart" uri="{C3380CC4-5D6E-409C-BE32-E72D297353CC}">
              <c16:uniqueId val="{00000007-62A4-453B-89F2-51D8F64107A4}"/>
            </c:ext>
          </c:extLst>
        </c:ser>
        <c:ser>
          <c:idx val="1"/>
          <c:order val="2"/>
          <c:tx>
            <c:strRef>
              <c:f>'General Statistical Data'!$J$11:$J$13</c:f>
              <c:strCache>
                <c:ptCount val="3"/>
                <c:pt idx="0">
                  <c:v>Mean</c:v>
                </c:pt>
              </c:strCache>
            </c:strRef>
          </c:tx>
          <c:spPr>
            <a:ln w="28575" cap="rnd">
              <a:solidFill>
                <a:schemeClr val="accent2"/>
              </a:solidFill>
              <a:round/>
            </a:ln>
            <a:effectLst/>
          </c:spPr>
          <c:marker>
            <c:symbol val="none"/>
          </c:marker>
          <c:cat>
            <c:strRef>
              <c:f>'General Statistical Data'!$A$16:$A$18</c:f>
              <c:strCache>
                <c:ptCount val="3"/>
                <c:pt idx="0">
                  <c:v>Stellenbosch University</c:v>
                </c:pt>
                <c:pt idx="1">
                  <c:v>University of Pretoria</c:v>
                </c:pt>
                <c:pt idx="2">
                  <c:v>University of South Africa</c:v>
                </c:pt>
              </c:strCache>
            </c:strRef>
          </c:cat>
          <c:val>
            <c:numRef>
              <c:f>Energy!$R$21:$R$23</c:f>
              <c:numCache>
                <c:formatCode>"R"\ #\ ##0.00</c:formatCode>
                <c:ptCount val="3"/>
                <c:pt idx="0">
                  <c:v>90.518099078951934</c:v>
                </c:pt>
                <c:pt idx="1">
                  <c:v>90.518099078951934</c:v>
                </c:pt>
                <c:pt idx="2">
                  <c:v>90.518099078951934</c:v>
                </c:pt>
              </c:numCache>
            </c:numRef>
          </c:val>
          <c:smooth val="0"/>
          <c:extLst>
            <c:ext xmlns:c16="http://schemas.microsoft.com/office/drawing/2014/chart" uri="{C3380CC4-5D6E-409C-BE32-E72D297353CC}">
              <c16:uniqueId val="{00000008-62A4-453B-89F2-51D8F64107A4}"/>
            </c:ext>
          </c:extLst>
        </c:ser>
        <c:dLbls>
          <c:showLegendKey val="0"/>
          <c:showVal val="0"/>
          <c:showCatName val="0"/>
          <c:showSerName val="0"/>
          <c:showPercent val="0"/>
          <c:showBubbleSize val="0"/>
        </c:dLbls>
        <c:marker val="1"/>
        <c:smooth val="0"/>
        <c:axId val="1762778079"/>
        <c:axId val="1826620415"/>
      </c:lineChart>
      <c:catAx>
        <c:axId val="1762778079"/>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26620415"/>
        <c:crosses val="autoZero"/>
        <c:auto val="1"/>
        <c:lblAlgn val="ctr"/>
        <c:lblOffset val="100"/>
        <c:noMultiLvlLbl val="0"/>
      </c:catAx>
      <c:valAx>
        <c:axId val="182662041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62778079"/>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ZA"/>
              <a:t>Security Costs (R/m</a:t>
            </a:r>
            <a:r>
              <a:rPr lang="en-ZA" baseline="30000"/>
              <a:t>2</a:t>
            </a:r>
            <a:r>
              <a:rPr lang="en-ZA"/>
              <a:t> GFA)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'Cleaning and Waste'!$I$13</c:f>
              <c:strCache>
                <c:ptCount val="1"/>
                <c:pt idx="0">
                  <c:v>R/m2 GFA</c:v>
                </c:pt>
              </c:strCache>
            </c:strRef>
          </c:tx>
          <c:spPr>
            <a:solidFill>
              <a:schemeClr val="accent1"/>
            </a:solidFill>
            <a:ln>
              <a:noFill/>
            </a:ln>
            <a:effectLst/>
          </c:spPr>
          <c:invertIfNegative val="0"/>
          <c:dPt>
            <c:idx val="0"/>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01-33C7-4592-8A35-53C0F41E3FE8}"/>
              </c:ext>
            </c:extLst>
          </c:dPt>
          <c:dPt>
            <c:idx val="1"/>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03-33C7-4592-8A35-53C0F41E3FE8}"/>
              </c:ext>
            </c:extLst>
          </c:dPt>
          <c:dPt>
            <c:idx val="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5-33C7-4592-8A35-53C0F41E3FE8}"/>
              </c:ext>
            </c:extLst>
          </c:dPt>
          <c:cat>
            <c:strRef>
              <c:f>'General Statistical Data'!$A$16:$A$18</c:f>
              <c:strCache>
                <c:ptCount val="3"/>
                <c:pt idx="0">
                  <c:v>Stellenbosch University</c:v>
                </c:pt>
                <c:pt idx="1">
                  <c:v>University of Pretoria</c:v>
                </c:pt>
                <c:pt idx="2">
                  <c:v>University of South Africa</c:v>
                </c:pt>
              </c:strCache>
            </c:strRef>
          </c:cat>
          <c:val>
            <c:numRef>
              <c:f>Security!$G$22:$G$24</c:f>
              <c:numCache>
                <c:formatCode>"R"\ #\ ##0</c:formatCode>
                <c:ptCount val="3"/>
                <c:pt idx="0">
                  <c:v>5.7234900122142482</c:v>
                </c:pt>
                <c:pt idx="1">
                  <c:v>120.22968954950935</c:v>
                </c:pt>
              </c:numCache>
            </c:numRef>
          </c:val>
          <c:extLst>
            <c:ext xmlns:c16="http://schemas.microsoft.com/office/drawing/2014/chart" uri="{C3380CC4-5D6E-409C-BE32-E72D297353CC}">
              <c16:uniqueId val="{00000006-33C7-4592-8A35-53C0F41E3FE8}"/>
            </c:ext>
          </c:extLst>
        </c:ser>
        <c:dLbls>
          <c:showLegendKey val="0"/>
          <c:showVal val="0"/>
          <c:showCatName val="0"/>
          <c:showSerName val="0"/>
          <c:showPercent val="0"/>
          <c:showBubbleSize val="0"/>
        </c:dLbls>
        <c:gapWidth val="150"/>
        <c:axId val="1762778079"/>
        <c:axId val="1826620415"/>
      </c:barChart>
      <c:lineChart>
        <c:grouping val="standard"/>
        <c:varyColors val="0"/>
        <c:ser>
          <c:idx val="2"/>
          <c:order val="1"/>
          <c:tx>
            <c:strRef>
              <c:f>'General Statistical Data'!$K$11:$K$13</c:f>
              <c:strCache>
                <c:ptCount val="3"/>
                <c:pt idx="0">
                  <c:v>Median</c:v>
                </c:pt>
              </c:strCache>
            </c:strRef>
          </c:tx>
          <c:spPr>
            <a:ln w="28575" cap="rnd">
              <a:solidFill>
                <a:srgbClr val="FFFF00"/>
              </a:solidFill>
              <a:prstDash val="dashDot"/>
              <a:round/>
            </a:ln>
            <a:effectLst/>
          </c:spPr>
          <c:marker>
            <c:symbol val="none"/>
          </c:marker>
          <c:val>
            <c:numRef>
              <c:f>Security!$J$22:$J$24</c:f>
              <c:numCache>
                <c:formatCode>"R"\ #\ ##0.00</c:formatCode>
                <c:ptCount val="3"/>
                <c:pt idx="0">
                  <c:v>62.976589780861801</c:v>
                </c:pt>
                <c:pt idx="1">
                  <c:v>62.976589780861801</c:v>
                </c:pt>
                <c:pt idx="2">
                  <c:v>62.976589780861801</c:v>
                </c:pt>
              </c:numCache>
            </c:numRef>
          </c:val>
          <c:smooth val="0"/>
          <c:extLst>
            <c:ext xmlns:c16="http://schemas.microsoft.com/office/drawing/2014/chart" uri="{C3380CC4-5D6E-409C-BE32-E72D297353CC}">
              <c16:uniqueId val="{00000008-33C7-4592-8A35-53C0F41E3FE8}"/>
            </c:ext>
          </c:extLst>
        </c:ser>
        <c:ser>
          <c:idx val="1"/>
          <c:order val="2"/>
          <c:tx>
            <c:strRef>
              <c:f>'General Statistical Data'!$J$11:$J$13</c:f>
              <c:strCache>
                <c:ptCount val="3"/>
                <c:pt idx="0">
                  <c:v>Mean</c:v>
                </c:pt>
              </c:strCache>
            </c:strRef>
          </c:tx>
          <c:spPr>
            <a:ln w="28575" cap="rnd">
              <a:solidFill>
                <a:schemeClr val="accent2"/>
              </a:solidFill>
              <a:round/>
            </a:ln>
            <a:effectLst/>
          </c:spPr>
          <c:marker>
            <c:symbol val="none"/>
          </c:marker>
          <c:cat>
            <c:strRef>
              <c:f>'General Statistical Data'!$A$16:$A$18</c:f>
              <c:strCache>
                <c:ptCount val="3"/>
                <c:pt idx="0">
                  <c:v>Stellenbosch University</c:v>
                </c:pt>
                <c:pt idx="1">
                  <c:v>University of Pretoria</c:v>
                </c:pt>
                <c:pt idx="2">
                  <c:v>University of South Africa</c:v>
                </c:pt>
              </c:strCache>
            </c:strRef>
          </c:cat>
          <c:val>
            <c:numRef>
              <c:f>Security!$I$22:$I$24</c:f>
              <c:numCache>
                <c:formatCode>"R"\ #\ ##0.00</c:formatCode>
                <c:ptCount val="3"/>
                <c:pt idx="0">
                  <c:v>62.976589780861794</c:v>
                </c:pt>
                <c:pt idx="1">
                  <c:v>62.976589780861794</c:v>
                </c:pt>
                <c:pt idx="2">
                  <c:v>62.976589780861794</c:v>
                </c:pt>
              </c:numCache>
            </c:numRef>
          </c:val>
          <c:smooth val="0"/>
          <c:extLst>
            <c:ext xmlns:c16="http://schemas.microsoft.com/office/drawing/2014/chart" uri="{C3380CC4-5D6E-409C-BE32-E72D297353CC}">
              <c16:uniqueId val="{00000007-33C7-4592-8A35-53C0F41E3FE8}"/>
            </c:ext>
          </c:extLst>
        </c:ser>
        <c:dLbls>
          <c:showLegendKey val="0"/>
          <c:showVal val="0"/>
          <c:showCatName val="0"/>
          <c:showSerName val="0"/>
          <c:showPercent val="0"/>
          <c:showBubbleSize val="0"/>
        </c:dLbls>
        <c:marker val="1"/>
        <c:smooth val="0"/>
        <c:axId val="1762778079"/>
        <c:axId val="1826620415"/>
      </c:lineChart>
      <c:catAx>
        <c:axId val="1762778079"/>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26620415"/>
        <c:crosses val="autoZero"/>
        <c:auto val="1"/>
        <c:lblAlgn val="ctr"/>
        <c:lblOffset val="100"/>
        <c:noMultiLvlLbl val="0"/>
      </c:catAx>
      <c:valAx>
        <c:axId val="182662041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62778079"/>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ZA"/>
              <a:t>Security Costs (R/m</a:t>
            </a:r>
            <a:r>
              <a:rPr lang="en-ZA" baseline="30000"/>
              <a:t>2</a:t>
            </a:r>
            <a:r>
              <a:rPr lang="en-ZA"/>
              <a:t> EFTS)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Security!$H$20</c:f>
              <c:strCache>
                <c:ptCount val="1"/>
                <c:pt idx="0">
                  <c:v>R/EFTS</c:v>
                </c:pt>
              </c:strCache>
            </c:strRef>
          </c:tx>
          <c:spPr>
            <a:solidFill>
              <a:schemeClr val="accent1"/>
            </a:solidFill>
            <a:ln>
              <a:noFill/>
            </a:ln>
            <a:effectLst/>
          </c:spPr>
          <c:invertIfNegative val="0"/>
          <c:dPt>
            <c:idx val="0"/>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01-36D2-4A4C-A271-FC0B8750E3C6}"/>
              </c:ext>
            </c:extLst>
          </c:dPt>
          <c:dPt>
            <c:idx val="1"/>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03-36D2-4A4C-A271-FC0B8750E3C6}"/>
              </c:ext>
            </c:extLst>
          </c:dPt>
          <c:dPt>
            <c:idx val="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5-36D2-4A4C-A271-FC0B8750E3C6}"/>
              </c:ext>
            </c:extLst>
          </c:dPt>
          <c:cat>
            <c:strRef>
              <c:f>'General Statistical Data'!$A$16:$A$18</c:f>
              <c:strCache>
                <c:ptCount val="3"/>
                <c:pt idx="0">
                  <c:v>Stellenbosch University</c:v>
                </c:pt>
                <c:pt idx="1">
                  <c:v>University of Pretoria</c:v>
                </c:pt>
                <c:pt idx="2">
                  <c:v>University of South Africa</c:v>
                </c:pt>
              </c:strCache>
            </c:strRef>
          </c:cat>
          <c:val>
            <c:numRef>
              <c:f>Security!$H$22:$H$24</c:f>
              <c:numCache>
                <c:formatCode>"R"\ #\ ##0</c:formatCode>
                <c:ptCount val="3"/>
                <c:pt idx="0">
                  <c:v>2450.6829894736843</c:v>
                </c:pt>
                <c:pt idx="1">
                  <c:v>2239.2459756715662</c:v>
                </c:pt>
                <c:pt idx="2">
                  <c:v>0</c:v>
                </c:pt>
              </c:numCache>
            </c:numRef>
          </c:val>
          <c:extLst>
            <c:ext xmlns:c16="http://schemas.microsoft.com/office/drawing/2014/chart" uri="{C3380CC4-5D6E-409C-BE32-E72D297353CC}">
              <c16:uniqueId val="{00000006-36D2-4A4C-A271-FC0B8750E3C6}"/>
            </c:ext>
          </c:extLst>
        </c:ser>
        <c:dLbls>
          <c:showLegendKey val="0"/>
          <c:showVal val="0"/>
          <c:showCatName val="0"/>
          <c:showSerName val="0"/>
          <c:showPercent val="0"/>
          <c:showBubbleSize val="0"/>
        </c:dLbls>
        <c:gapWidth val="150"/>
        <c:axId val="1762778079"/>
        <c:axId val="1826620415"/>
      </c:barChart>
      <c:lineChart>
        <c:grouping val="standard"/>
        <c:varyColors val="0"/>
        <c:ser>
          <c:idx val="2"/>
          <c:order val="1"/>
          <c:tx>
            <c:strRef>
              <c:f>'General Statistical Data'!$K$11:$K$13</c:f>
              <c:strCache>
                <c:ptCount val="3"/>
                <c:pt idx="0">
                  <c:v>Median</c:v>
                </c:pt>
              </c:strCache>
            </c:strRef>
          </c:tx>
          <c:spPr>
            <a:ln w="28575" cap="rnd">
              <a:solidFill>
                <a:srgbClr val="FFFF00"/>
              </a:solidFill>
              <a:prstDash val="dashDot"/>
              <a:round/>
            </a:ln>
            <a:effectLst/>
          </c:spPr>
          <c:marker>
            <c:symbol val="none"/>
          </c:marker>
          <c:val>
            <c:numRef>
              <c:f>Security!$L$22:$L$24</c:f>
              <c:numCache>
                <c:formatCode>"R"\ #\ ##0.00</c:formatCode>
                <c:ptCount val="3"/>
                <c:pt idx="0">
                  <c:v>2239.2459756715662</c:v>
                </c:pt>
                <c:pt idx="1">
                  <c:v>2239.2459756715662</c:v>
                </c:pt>
                <c:pt idx="2">
                  <c:v>2239.2459756715662</c:v>
                </c:pt>
              </c:numCache>
            </c:numRef>
          </c:val>
          <c:smooth val="0"/>
          <c:extLst>
            <c:ext xmlns:c16="http://schemas.microsoft.com/office/drawing/2014/chart" uri="{C3380CC4-5D6E-409C-BE32-E72D297353CC}">
              <c16:uniqueId val="{00000007-36D2-4A4C-A271-FC0B8750E3C6}"/>
            </c:ext>
          </c:extLst>
        </c:ser>
        <c:ser>
          <c:idx val="1"/>
          <c:order val="2"/>
          <c:tx>
            <c:strRef>
              <c:f>'General Statistical Data'!$J$11:$J$13</c:f>
              <c:strCache>
                <c:ptCount val="3"/>
                <c:pt idx="0">
                  <c:v>Mean</c:v>
                </c:pt>
              </c:strCache>
            </c:strRef>
          </c:tx>
          <c:spPr>
            <a:ln w="28575" cap="rnd">
              <a:solidFill>
                <a:schemeClr val="accent2"/>
              </a:solidFill>
              <a:round/>
            </a:ln>
            <a:effectLst/>
          </c:spPr>
          <c:marker>
            <c:symbol val="none"/>
          </c:marker>
          <c:cat>
            <c:strRef>
              <c:f>'General Statistical Data'!$A$16:$A$18</c:f>
              <c:strCache>
                <c:ptCount val="3"/>
                <c:pt idx="0">
                  <c:v>Stellenbosch University</c:v>
                </c:pt>
                <c:pt idx="1">
                  <c:v>University of Pretoria</c:v>
                </c:pt>
                <c:pt idx="2">
                  <c:v>University of South Africa</c:v>
                </c:pt>
              </c:strCache>
            </c:strRef>
          </c:cat>
          <c:val>
            <c:numRef>
              <c:f>Security!$K$22:$K$24</c:f>
              <c:numCache>
                <c:formatCode>"R"\ #\ ##0.00</c:formatCode>
                <c:ptCount val="3"/>
                <c:pt idx="0">
                  <c:v>1563.309655048417</c:v>
                </c:pt>
                <c:pt idx="1">
                  <c:v>1563.309655048417</c:v>
                </c:pt>
                <c:pt idx="2">
                  <c:v>1563.309655048417</c:v>
                </c:pt>
              </c:numCache>
            </c:numRef>
          </c:val>
          <c:smooth val="0"/>
          <c:extLst>
            <c:ext xmlns:c16="http://schemas.microsoft.com/office/drawing/2014/chart" uri="{C3380CC4-5D6E-409C-BE32-E72D297353CC}">
              <c16:uniqueId val="{00000008-36D2-4A4C-A271-FC0B8750E3C6}"/>
            </c:ext>
          </c:extLst>
        </c:ser>
        <c:dLbls>
          <c:showLegendKey val="0"/>
          <c:showVal val="0"/>
          <c:showCatName val="0"/>
          <c:showSerName val="0"/>
          <c:showPercent val="0"/>
          <c:showBubbleSize val="0"/>
        </c:dLbls>
        <c:marker val="1"/>
        <c:smooth val="0"/>
        <c:axId val="1762778079"/>
        <c:axId val="1826620415"/>
      </c:lineChart>
      <c:catAx>
        <c:axId val="1762778079"/>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26620415"/>
        <c:crosses val="autoZero"/>
        <c:auto val="1"/>
        <c:lblAlgn val="ctr"/>
        <c:lblOffset val="100"/>
        <c:noMultiLvlLbl val="0"/>
      </c:catAx>
      <c:valAx>
        <c:axId val="182662041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62778079"/>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ZA"/>
              <a:t>Building Efficiency (AFA/GFA)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'General Statistical Data'!$E$11:$E$13</c:f>
              <c:strCache>
                <c:ptCount val="3"/>
                <c:pt idx="0">
                  <c:v>AFA/GFA</c:v>
                </c:pt>
              </c:strCache>
            </c:strRef>
          </c:tx>
          <c:spPr>
            <a:solidFill>
              <a:schemeClr val="accent1"/>
            </a:solidFill>
            <a:ln>
              <a:noFill/>
            </a:ln>
            <a:effectLst/>
          </c:spPr>
          <c:invertIfNegative val="0"/>
          <c:dPt>
            <c:idx val="0"/>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03-0819-4BCD-8A54-B2BA8FAA83AB}"/>
              </c:ext>
            </c:extLst>
          </c:dPt>
          <c:dPt>
            <c:idx val="1"/>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04-0819-4BCD-8A54-B2BA8FAA83AB}"/>
              </c:ext>
            </c:extLst>
          </c:dPt>
          <c:dPt>
            <c:idx val="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5-0819-4BCD-8A54-B2BA8FAA83AB}"/>
              </c:ext>
            </c:extLst>
          </c:dPt>
          <c:cat>
            <c:strRef>
              <c:f>'General Statistical Data'!$A$16:$A$18</c:f>
              <c:strCache>
                <c:ptCount val="3"/>
                <c:pt idx="0">
                  <c:v>Stellenbosch University</c:v>
                </c:pt>
                <c:pt idx="1">
                  <c:v>University of Pretoria</c:v>
                </c:pt>
                <c:pt idx="2">
                  <c:v>University of South Africa</c:v>
                </c:pt>
              </c:strCache>
            </c:strRef>
          </c:cat>
          <c:val>
            <c:numRef>
              <c:f>'General Statistical Data'!$E$16:$E$18</c:f>
              <c:numCache>
                <c:formatCode>0.0%</c:formatCode>
                <c:ptCount val="3"/>
                <c:pt idx="0">
                  <c:v>0.62017351828628597</c:v>
                </c:pt>
                <c:pt idx="1">
                  <c:v>0.65847316486423235</c:v>
                </c:pt>
                <c:pt idx="2">
                  <c:v>0.56501897426807079</c:v>
                </c:pt>
              </c:numCache>
            </c:numRef>
          </c:val>
          <c:extLst>
            <c:ext xmlns:c16="http://schemas.microsoft.com/office/drawing/2014/chart" uri="{C3380CC4-5D6E-409C-BE32-E72D297353CC}">
              <c16:uniqueId val="{00000000-0819-4BCD-8A54-B2BA8FAA83AB}"/>
            </c:ext>
          </c:extLst>
        </c:ser>
        <c:dLbls>
          <c:showLegendKey val="0"/>
          <c:showVal val="0"/>
          <c:showCatName val="0"/>
          <c:showSerName val="0"/>
          <c:showPercent val="0"/>
          <c:showBubbleSize val="0"/>
        </c:dLbls>
        <c:gapWidth val="150"/>
        <c:axId val="1762778079"/>
        <c:axId val="1826620415"/>
      </c:barChart>
      <c:lineChart>
        <c:grouping val="standard"/>
        <c:varyColors val="0"/>
        <c:ser>
          <c:idx val="1"/>
          <c:order val="1"/>
          <c:tx>
            <c:strRef>
              <c:f>'General Statistical Data'!$J$11:$J$13</c:f>
              <c:strCache>
                <c:ptCount val="3"/>
                <c:pt idx="0">
                  <c:v>Mean</c:v>
                </c:pt>
              </c:strCache>
            </c:strRef>
          </c:tx>
          <c:spPr>
            <a:ln w="28575" cap="rnd">
              <a:solidFill>
                <a:schemeClr val="accent2"/>
              </a:solidFill>
              <a:round/>
            </a:ln>
            <a:effectLst/>
          </c:spPr>
          <c:marker>
            <c:symbol val="none"/>
          </c:marker>
          <c:cat>
            <c:strRef>
              <c:f>'General Statistical Data'!$A$16:$A$18</c:f>
              <c:strCache>
                <c:ptCount val="3"/>
                <c:pt idx="0">
                  <c:v>Stellenbosch University</c:v>
                </c:pt>
                <c:pt idx="1">
                  <c:v>University of Pretoria</c:v>
                </c:pt>
                <c:pt idx="2">
                  <c:v>University of South Africa</c:v>
                </c:pt>
              </c:strCache>
            </c:strRef>
          </c:cat>
          <c:val>
            <c:numRef>
              <c:f>'General Statistical Data'!$J$16:$J$18</c:f>
              <c:numCache>
                <c:formatCode>0.0%</c:formatCode>
                <c:ptCount val="3"/>
                <c:pt idx="0">
                  <c:v>0.62017351828628597</c:v>
                </c:pt>
                <c:pt idx="1">
                  <c:v>0.62017351828628597</c:v>
                </c:pt>
                <c:pt idx="2">
                  <c:v>0.62017351828628597</c:v>
                </c:pt>
              </c:numCache>
            </c:numRef>
          </c:val>
          <c:smooth val="0"/>
          <c:extLst>
            <c:ext xmlns:c16="http://schemas.microsoft.com/office/drawing/2014/chart" uri="{C3380CC4-5D6E-409C-BE32-E72D297353CC}">
              <c16:uniqueId val="{00000002-0819-4BCD-8A54-B2BA8FAA83AB}"/>
            </c:ext>
          </c:extLst>
        </c:ser>
        <c:ser>
          <c:idx val="2"/>
          <c:order val="2"/>
          <c:tx>
            <c:strRef>
              <c:f>'General Statistical Data'!$K$11:$K$13</c:f>
              <c:strCache>
                <c:ptCount val="3"/>
                <c:pt idx="0">
                  <c:v>Median</c:v>
                </c:pt>
              </c:strCache>
            </c:strRef>
          </c:tx>
          <c:spPr>
            <a:ln w="28575" cap="rnd">
              <a:solidFill>
                <a:srgbClr val="FFFF00"/>
              </a:solidFill>
              <a:prstDash val="dashDot"/>
              <a:round/>
            </a:ln>
            <a:effectLst/>
          </c:spPr>
          <c:marker>
            <c:symbol val="none"/>
          </c:marker>
          <c:val>
            <c:numRef>
              <c:f>'General Statistical Data'!$K$16:$K$18</c:f>
              <c:numCache>
                <c:formatCode>0.0%</c:formatCode>
                <c:ptCount val="3"/>
                <c:pt idx="0">
                  <c:v>0.62017351828628597</c:v>
                </c:pt>
                <c:pt idx="1">
                  <c:v>0.62017351828628597</c:v>
                </c:pt>
                <c:pt idx="2">
                  <c:v>0.62017351828628597</c:v>
                </c:pt>
              </c:numCache>
            </c:numRef>
          </c:val>
          <c:smooth val="0"/>
          <c:extLst>
            <c:ext xmlns:c16="http://schemas.microsoft.com/office/drawing/2014/chart" uri="{C3380CC4-5D6E-409C-BE32-E72D297353CC}">
              <c16:uniqueId val="{00000006-0819-4BCD-8A54-B2BA8FAA83AB}"/>
            </c:ext>
          </c:extLst>
        </c:ser>
        <c:dLbls>
          <c:showLegendKey val="0"/>
          <c:showVal val="0"/>
          <c:showCatName val="0"/>
          <c:showSerName val="0"/>
          <c:showPercent val="0"/>
          <c:showBubbleSize val="0"/>
        </c:dLbls>
        <c:marker val="1"/>
        <c:smooth val="0"/>
        <c:axId val="1762778079"/>
        <c:axId val="1826620415"/>
      </c:lineChart>
      <c:catAx>
        <c:axId val="1762778079"/>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26620415"/>
        <c:crosses val="autoZero"/>
        <c:auto val="1"/>
        <c:lblAlgn val="ctr"/>
        <c:lblOffset val="100"/>
        <c:noMultiLvlLbl val="0"/>
      </c:catAx>
      <c:valAx>
        <c:axId val="182662041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62778079"/>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ZA"/>
              <a:t>Asset Replacement</a:t>
            </a:r>
            <a:r>
              <a:rPr lang="en-ZA" baseline="0"/>
              <a:t> Cost (R/m</a:t>
            </a:r>
            <a:r>
              <a:rPr lang="en-ZA" baseline="30000"/>
              <a:t>2</a:t>
            </a:r>
            <a:r>
              <a:rPr lang="en-ZA" baseline="0"/>
              <a:t> GFA)</a:t>
            </a:r>
            <a:endParaRPr lang="en-ZA"/>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'General Statistical Data'!$G$14</c:f>
              <c:strCache>
                <c:ptCount val="1"/>
                <c:pt idx="0">
                  <c:v>R/m2 GFA</c:v>
                </c:pt>
              </c:strCache>
            </c:strRef>
          </c:tx>
          <c:spPr>
            <a:solidFill>
              <a:schemeClr val="accent1"/>
            </a:solidFill>
            <a:ln>
              <a:noFill/>
            </a:ln>
            <a:effectLst/>
          </c:spPr>
          <c:invertIfNegative val="0"/>
          <c:dPt>
            <c:idx val="0"/>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02-AAA1-4C49-A1CE-57321D5868EB}"/>
              </c:ext>
            </c:extLst>
          </c:dPt>
          <c:dPt>
            <c:idx val="1"/>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03-AAA1-4C49-A1CE-57321D5868EB}"/>
              </c:ext>
            </c:extLst>
          </c:dPt>
          <c:dPt>
            <c:idx val="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4-AAA1-4C49-A1CE-57321D5868EB}"/>
              </c:ext>
            </c:extLst>
          </c:dPt>
          <c:cat>
            <c:strRef>
              <c:f>'General Statistical Data'!$A$16:$A$18</c:f>
              <c:strCache>
                <c:ptCount val="3"/>
                <c:pt idx="0">
                  <c:v>Stellenbosch University</c:v>
                </c:pt>
                <c:pt idx="1">
                  <c:v>University of Pretoria</c:v>
                </c:pt>
                <c:pt idx="2">
                  <c:v>University of South Africa</c:v>
                </c:pt>
              </c:strCache>
            </c:strRef>
          </c:cat>
          <c:val>
            <c:numRef>
              <c:f>'General Statistical Data'!$G$16:$G$18</c:f>
              <c:numCache>
                <c:formatCode>"R"\ #\ ##0</c:formatCode>
                <c:ptCount val="3"/>
                <c:pt idx="0">
                  <c:v>12237.915950078586</c:v>
                </c:pt>
                <c:pt idx="1">
                  <c:v>15225.841370358074</c:v>
                </c:pt>
                <c:pt idx="2">
                  <c:v>14009.340621574593</c:v>
                </c:pt>
              </c:numCache>
            </c:numRef>
          </c:val>
          <c:extLst>
            <c:ext xmlns:c16="http://schemas.microsoft.com/office/drawing/2014/chart" uri="{C3380CC4-5D6E-409C-BE32-E72D297353CC}">
              <c16:uniqueId val="{00000000-AAA1-4C49-A1CE-57321D5868EB}"/>
            </c:ext>
          </c:extLst>
        </c:ser>
        <c:dLbls>
          <c:showLegendKey val="0"/>
          <c:showVal val="0"/>
          <c:showCatName val="0"/>
          <c:showSerName val="0"/>
          <c:showPercent val="0"/>
          <c:showBubbleSize val="0"/>
        </c:dLbls>
        <c:gapWidth val="150"/>
        <c:axId val="1762778079"/>
        <c:axId val="1826620415"/>
      </c:barChart>
      <c:lineChart>
        <c:grouping val="standard"/>
        <c:varyColors val="0"/>
        <c:ser>
          <c:idx val="1"/>
          <c:order val="1"/>
          <c:tx>
            <c:strRef>
              <c:f>'General Statistical Data'!$L$11:$L$13</c:f>
              <c:strCache>
                <c:ptCount val="3"/>
                <c:pt idx="0">
                  <c:v>Mean</c:v>
                </c:pt>
              </c:strCache>
            </c:strRef>
          </c:tx>
          <c:spPr>
            <a:ln w="28575" cap="rnd">
              <a:solidFill>
                <a:schemeClr val="accent2"/>
              </a:solidFill>
              <a:round/>
            </a:ln>
            <a:effectLst/>
          </c:spPr>
          <c:marker>
            <c:symbol val="none"/>
          </c:marker>
          <c:cat>
            <c:strRef>
              <c:f>'General Statistical Data'!$A$16:$A$18</c:f>
              <c:strCache>
                <c:ptCount val="3"/>
                <c:pt idx="0">
                  <c:v>Stellenbosch University</c:v>
                </c:pt>
                <c:pt idx="1">
                  <c:v>University of Pretoria</c:v>
                </c:pt>
                <c:pt idx="2">
                  <c:v>University of South Africa</c:v>
                </c:pt>
              </c:strCache>
            </c:strRef>
          </c:cat>
          <c:val>
            <c:numRef>
              <c:f>'General Statistical Data'!$L$16:$L$18</c:f>
              <c:numCache>
                <c:formatCode>"R"\ #\ ##0</c:formatCode>
                <c:ptCount val="3"/>
                <c:pt idx="0">
                  <c:v>13824.365980670418</c:v>
                </c:pt>
                <c:pt idx="1">
                  <c:v>13824.365980670418</c:v>
                </c:pt>
                <c:pt idx="2">
                  <c:v>13824.365980670418</c:v>
                </c:pt>
              </c:numCache>
            </c:numRef>
          </c:val>
          <c:smooth val="0"/>
          <c:extLst>
            <c:ext xmlns:c16="http://schemas.microsoft.com/office/drawing/2014/chart" uri="{C3380CC4-5D6E-409C-BE32-E72D297353CC}">
              <c16:uniqueId val="{00000001-AAA1-4C49-A1CE-57321D5868EB}"/>
            </c:ext>
          </c:extLst>
        </c:ser>
        <c:ser>
          <c:idx val="2"/>
          <c:order val="2"/>
          <c:tx>
            <c:strRef>
              <c:f>'General Statistical Data'!$M$11:$M$13</c:f>
              <c:strCache>
                <c:ptCount val="3"/>
                <c:pt idx="0">
                  <c:v>Median</c:v>
                </c:pt>
              </c:strCache>
            </c:strRef>
          </c:tx>
          <c:spPr>
            <a:ln w="28575" cap="rnd">
              <a:solidFill>
                <a:srgbClr val="FFFF00"/>
              </a:solidFill>
              <a:prstDash val="dashDot"/>
              <a:round/>
            </a:ln>
            <a:effectLst/>
          </c:spPr>
          <c:marker>
            <c:symbol val="none"/>
          </c:marker>
          <c:val>
            <c:numRef>
              <c:f>'General Statistical Data'!$M$16:$M$18</c:f>
              <c:numCache>
                <c:formatCode>"R"\ #\ ##0</c:formatCode>
                <c:ptCount val="3"/>
                <c:pt idx="0">
                  <c:v>14009.340621574593</c:v>
                </c:pt>
                <c:pt idx="1">
                  <c:v>14009.340621574593</c:v>
                </c:pt>
                <c:pt idx="2">
                  <c:v>14009.340621574593</c:v>
                </c:pt>
              </c:numCache>
            </c:numRef>
          </c:val>
          <c:smooth val="0"/>
          <c:extLst>
            <c:ext xmlns:c16="http://schemas.microsoft.com/office/drawing/2014/chart" uri="{C3380CC4-5D6E-409C-BE32-E72D297353CC}">
              <c16:uniqueId val="{00000005-AAA1-4C49-A1CE-57321D5868EB}"/>
            </c:ext>
          </c:extLst>
        </c:ser>
        <c:dLbls>
          <c:showLegendKey val="0"/>
          <c:showVal val="0"/>
          <c:showCatName val="0"/>
          <c:showSerName val="0"/>
          <c:showPercent val="0"/>
          <c:showBubbleSize val="0"/>
        </c:dLbls>
        <c:marker val="1"/>
        <c:smooth val="0"/>
        <c:axId val="1762778079"/>
        <c:axId val="1826620415"/>
      </c:lineChart>
      <c:catAx>
        <c:axId val="1762778079"/>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26620415"/>
        <c:crosses val="autoZero"/>
        <c:auto val="1"/>
        <c:lblAlgn val="ctr"/>
        <c:lblOffset val="100"/>
        <c:noMultiLvlLbl val="0"/>
      </c:catAx>
      <c:valAx>
        <c:axId val="182662041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62778079"/>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ZA"/>
              <a:t>Space (m</a:t>
            </a:r>
            <a:r>
              <a:rPr lang="en-ZA" baseline="30000"/>
              <a:t>2</a:t>
            </a:r>
            <a:r>
              <a:rPr lang="en-ZA"/>
              <a:t>/EFTS)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'General Statistical Data'!$I$14</c:f>
              <c:strCache>
                <c:ptCount val="1"/>
                <c:pt idx="0">
                  <c:v>m2 / EFTS</c:v>
                </c:pt>
              </c:strCache>
            </c:strRef>
          </c:tx>
          <c:spPr>
            <a:solidFill>
              <a:schemeClr val="accent1"/>
            </a:solidFill>
            <a:ln>
              <a:noFill/>
            </a:ln>
            <a:effectLst/>
          </c:spPr>
          <c:invertIfNegative val="0"/>
          <c:dPt>
            <c:idx val="0"/>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01-A9AD-476C-BDBC-876B7C7E0808}"/>
              </c:ext>
            </c:extLst>
          </c:dPt>
          <c:dPt>
            <c:idx val="1"/>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03-A9AD-476C-BDBC-876B7C7E0808}"/>
              </c:ext>
            </c:extLst>
          </c:dPt>
          <c:dPt>
            <c:idx val="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5-A9AD-476C-BDBC-876B7C7E0808}"/>
              </c:ext>
            </c:extLst>
          </c:dPt>
          <c:cat>
            <c:strRef>
              <c:f>'General Statistical Data'!$A$16:$A$18</c:f>
              <c:strCache>
                <c:ptCount val="3"/>
                <c:pt idx="0">
                  <c:v>Stellenbosch University</c:v>
                </c:pt>
                <c:pt idx="1">
                  <c:v>University of Pretoria</c:v>
                </c:pt>
                <c:pt idx="2">
                  <c:v>University of South Africa</c:v>
                </c:pt>
              </c:strCache>
            </c:strRef>
          </c:cat>
          <c:val>
            <c:numRef>
              <c:f>'General Statistical Data'!$I$16:$I$18</c:f>
              <c:numCache>
                <c:formatCode>0.0</c:formatCode>
                <c:ptCount val="3"/>
                <c:pt idx="0">
                  <c:v>32.870189473684214</c:v>
                </c:pt>
                <c:pt idx="1">
                  <c:v>18.624733907754688</c:v>
                </c:pt>
                <c:pt idx="2">
                  <c:v>0.72236202900141377</c:v>
                </c:pt>
              </c:numCache>
            </c:numRef>
          </c:val>
          <c:extLst>
            <c:ext xmlns:c16="http://schemas.microsoft.com/office/drawing/2014/chart" uri="{C3380CC4-5D6E-409C-BE32-E72D297353CC}">
              <c16:uniqueId val="{00000006-A9AD-476C-BDBC-876B7C7E0808}"/>
            </c:ext>
          </c:extLst>
        </c:ser>
        <c:dLbls>
          <c:showLegendKey val="0"/>
          <c:showVal val="0"/>
          <c:showCatName val="0"/>
          <c:showSerName val="0"/>
          <c:showPercent val="0"/>
          <c:showBubbleSize val="0"/>
        </c:dLbls>
        <c:gapWidth val="150"/>
        <c:axId val="1762778079"/>
        <c:axId val="1826620415"/>
      </c:barChart>
      <c:lineChart>
        <c:grouping val="standard"/>
        <c:varyColors val="0"/>
        <c:ser>
          <c:idx val="1"/>
          <c:order val="1"/>
          <c:tx>
            <c:strRef>
              <c:f>'General Statistical Data'!$N$11:$N$13</c:f>
              <c:strCache>
                <c:ptCount val="3"/>
                <c:pt idx="0">
                  <c:v>Mean</c:v>
                </c:pt>
              </c:strCache>
            </c:strRef>
          </c:tx>
          <c:spPr>
            <a:ln w="28575" cap="rnd">
              <a:solidFill>
                <a:schemeClr val="accent2"/>
              </a:solidFill>
              <a:round/>
            </a:ln>
            <a:effectLst/>
          </c:spPr>
          <c:marker>
            <c:symbol val="none"/>
          </c:marker>
          <c:cat>
            <c:strRef>
              <c:f>'General Statistical Data'!$A$16:$A$18</c:f>
              <c:strCache>
                <c:ptCount val="3"/>
                <c:pt idx="0">
                  <c:v>Stellenbosch University</c:v>
                </c:pt>
                <c:pt idx="1">
                  <c:v>University of Pretoria</c:v>
                </c:pt>
                <c:pt idx="2">
                  <c:v>University of South Africa</c:v>
                </c:pt>
              </c:strCache>
            </c:strRef>
          </c:cat>
          <c:val>
            <c:numRef>
              <c:f>'General Statistical Data'!$N$16:$N$18</c:f>
              <c:numCache>
                <c:formatCode>_ * #\ ##0.00_ ;_ * \-#\ ##0.00_ ;_ * "-"??_ ;_ @_ </c:formatCode>
                <c:ptCount val="3"/>
                <c:pt idx="0">
                  <c:v>17.405761803480107</c:v>
                </c:pt>
                <c:pt idx="1">
                  <c:v>17.405761803480107</c:v>
                </c:pt>
                <c:pt idx="2">
                  <c:v>17.405761803480107</c:v>
                </c:pt>
              </c:numCache>
            </c:numRef>
          </c:val>
          <c:smooth val="0"/>
          <c:extLst>
            <c:ext xmlns:c16="http://schemas.microsoft.com/office/drawing/2014/chart" uri="{C3380CC4-5D6E-409C-BE32-E72D297353CC}">
              <c16:uniqueId val="{00000007-A9AD-476C-BDBC-876B7C7E0808}"/>
            </c:ext>
          </c:extLst>
        </c:ser>
        <c:ser>
          <c:idx val="2"/>
          <c:order val="2"/>
          <c:tx>
            <c:strRef>
              <c:f>'General Statistical Data'!$O$11:$O$13</c:f>
              <c:strCache>
                <c:ptCount val="3"/>
                <c:pt idx="0">
                  <c:v>Median</c:v>
                </c:pt>
              </c:strCache>
            </c:strRef>
          </c:tx>
          <c:spPr>
            <a:ln w="28575" cap="rnd">
              <a:solidFill>
                <a:srgbClr val="FFFF00"/>
              </a:solidFill>
              <a:prstDash val="dashDot"/>
              <a:round/>
            </a:ln>
            <a:effectLst/>
          </c:spPr>
          <c:marker>
            <c:symbol val="none"/>
          </c:marker>
          <c:val>
            <c:numRef>
              <c:f>'General Statistical Data'!$O$16:$O$18</c:f>
              <c:numCache>
                <c:formatCode>_ * #\ ##0.00_ ;_ * \-#\ ##0.00_ ;_ * "-"??_ ;_ @_ </c:formatCode>
                <c:ptCount val="3"/>
                <c:pt idx="0">
                  <c:v>18.624733907754688</c:v>
                </c:pt>
                <c:pt idx="1">
                  <c:v>18.624733907754688</c:v>
                </c:pt>
                <c:pt idx="2">
                  <c:v>18.624733907754688</c:v>
                </c:pt>
              </c:numCache>
            </c:numRef>
          </c:val>
          <c:smooth val="0"/>
          <c:extLst>
            <c:ext xmlns:c16="http://schemas.microsoft.com/office/drawing/2014/chart" uri="{C3380CC4-5D6E-409C-BE32-E72D297353CC}">
              <c16:uniqueId val="{00000009-A9AD-476C-BDBC-876B7C7E0808}"/>
            </c:ext>
          </c:extLst>
        </c:ser>
        <c:dLbls>
          <c:showLegendKey val="0"/>
          <c:showVal val="0"/>
          <c:showCatName val="0"/>
          <c:showSerName val="0"/>
          <c:showPercent val="0"/>
          <c:showBubbleSize val="0"/>
        </c:dLbls>
        <c:marker val="1"/>
        <c:smooth val="0"/>
        <c:axId val="1762778079"/>
        <c:axId val="1826620415"/>
      </c:lineChart>
      <c:catAx>
        <c:axId val="1762778079"/>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26620415"/>
        <c:crosses val="autoZero"/>
        <c:auto val="1"/>
        <c:lblAlgn val="ctr"/>
        <c:lblOffset val="100"/>
        <c:noMultiLvlLbl val="0"/>
      </c:catAx>
      <c:valAx>
        <c:axId val="182662041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62778079"/>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ZA"/>
              <a:t>Cost of Maintenance per</a:t>
            </a:r>
            <a:r>
              <a:rPr lang="en-ZA" baseline="0"/>
              <a:t> m</a:t>
            </a:r>
            <a:r>
              <a:rPr lang="en-ZA" baseline="30000"/>
              <a:t>2 </a:t>
            </a:r>
            <a:r>
              <a:rPr lang="en-ZA" baseline="0"/>
              <a:t>(GFA)</a:t>
            </a:r>
            <a:endParaRPr lang="en-ZA" baseline="300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Maintenance!$I$14</c:f>
              <c:strCache>
                <c:ptCount val="1"/>
                <c:pt idx="0">
                  <c:v>R/m2 GFA</c:v>
                </c:pt>
              </c:strCache>
            </c:strRef>
          </c:tx>
          <c:spPr>
            <a:solidFill>
              <a:schemeClr val="accent1"/>
            </a:solidFill>
            <a:ln>
              <a:noFill/>
            </a:ln>
            <a:effectLst/>
          </c:spPr>
          <c:invertIfNegative val="0"/>
          <c:dPt>
            <c:idx val="0"/>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01-B2CB-4668-84B5-D01841119F7C}"/>
              </c:ext>
            </c:extLst>
          </c:dPt>
          <c:dPt>
            <c:idx val="1"/>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03-B2CB-4668-84B5-D01841119F7C}"/>
              </c:ext>
            </c:extLst>
          </c:dPt>
          <c:dPt>
            <c:idx val="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5-B2CB-4668-84B5-D01841119F7C}"/>
              </c:ext>
            </c:extLst>
          </c:dPt>
          <c:cat>
            <c:strRef>
              <c:f>'General Statistical Data'!$A$16:$A$18</c:f>
              <c:strCache>
                <c:ptCount val="3"/>
                <c:pt idx="0">
                  <c:v>Stellenbosch University</c:v>
                </c:pt>
                <c:pt idx="1">
                  <c:v>University of Pretoria</c:v>
                </c:pt>
                <c:pt idx="2">
                  <c:v>University of South Africa</c:v>
                </c:pt>
              </c:strCache>
            </c:strRef>
          </c:cat>
          <c:val>
            <c:numRef>
              <c:f>Maintenance!$I$16:$I$18</c:f>
              <c:numCache>
                <c:formatCode>"R"\ #\ ##0</c:formatCode>
                <c:ptCount val="3"/>
                <c:pt idx="0">
                  <c:v>166.35307708185772</c:v>
                </c:pt>
                <c:pt idx="1">
                  <c:v>133.78265880380769</c:v>
                </c:pt>
                <c:pt idx="2">
                  <c:v>304.38285639283805</c:v>
                </c:pt>
              </c:numCache>
            </c:numRef>
          </c:val>
          <c:extLst>
            <c:ext xmlns:c16="http://schemas.microsoft.com/office/drawing/2014/chart" uri="{C3380CC4-5D6E-409C-BE32-E72D297353CC}">
              <c16:uniqueId val="{00000006-B2CB-4668-84B5-D01841119F7C}"/>
            </c:ext>
          </c:extLst>
        </c:ser>
        <c:dLbls>
          <c:showLegendKey val="0"/>
          <c:showVal val="0"/>
          <c:showCatName val="0"/>
          <c:showSerName val="0"/>
          <c:showPercent val="0"/>
          <c:showBubbleSize val="0"/>
        </c:dLbls>
        <c:gapWidth val="150"/>
        <c:axId val="1762778079"/>
        <c:axId val="1826620415"/>
      </c:barChart>
      <c:lineChart>
        <c:grouping val="standard"/>
        <c:varyColors val="0"/>
        <c:ser>
          <c:idx val="1"/>
          <c:order val="1"/>
          <c:tx>
            <c:strRef>
              <c:f>'General Statistical Data'!$J$11:$J$13</c:f>
              <c:strCache>
                <c:ptCount val="3"/>
                <c:pt idx="0">
                  <c:v>Mean</c:v>
                </c:pt>
              </c:strCache>
            </c:strRef>
          </c:tx>
          <c:spPr>
            <a:ln w="28575" cap="rnd">
              <a:solidFill>
                <a:schemeClr val="accent2"/>
              </a:solidFill>
              <a:round/>
            </a:ln>
            <a:effectLst/>
          </c:spPr>
          <c:marker>
            <c:symbol val="none"/>
          </c:marker>
          <c:cat>
            <c:strRef>
              <c:f>'General Statistical Data'!$A$16:$A$18</c:f>
              <c:strCache>
                <c:ptCount val="3"/>
                <c:pt idx="0">
                  <c:v>Stellenbosch University</c:v>
                </c:pt>
                <c:pt idx="1">
                  <c:v>University of Pretoria</c:v>
                </c:pt>
                <c:pt idx="2">
                  <c:v>University of South Africa</c:v>
                </c:pt>
              </c:strCache>
            </c:strRef>
          </c:cat>
          <c:val>
            <c:numRef>
              <c:f>Maintenance!$L$16:$L$18</c:f>
              <c:numCache>
                <c:formatCode>"R"\ #\ ##0</c:formatCode>
                <c:ptCount val="3"/>
                <c:pt idx="0">
                  <c:v>166.35307708185772</c:v>
                </c:pt>
                <c:pt idx="1">
                  <c:v>166.35307708185772</c:v>
                </c:pt>
                <c:pt idx="2">
                  <c:v>166.35307708185772</c:v>
                </c:pt>
              </c:numCache>
            </c:numRef>
          </c:val>
          <c:smooth val="0"/>
          <c:extLst>
            <c:ext xmlns:c16="http://schemas.microsoft.com/office/drawing/2014/chart" uri="{C3380CC4-5D6E-409C-BE32-E72D297353CC}">
              <c16:uniqueId val="{00000007-B2CB-4668-84B5-D01841119F7C}"/>
            </c:ext>
          </c:extLst>
        </c:ser>
        <c:ser>
          <c:idx val="2"/>
          <c:order val="2"/>
          <c:tx>
            <c:strRef>
              <c:f>'General Statistical Data'!$K$11:$K$13</c:f>
              <c:strCache>
                <c:ptCount val="3"/>
                <c:pt idx="0">
                  <c:v>Median</c:v>
                </c:pt>
              </c:strCache>
            </c:strRef>
          </c:tx>
          <c:spPr>
            <a:ln w="28575" cap="rnd">
              <a:solidFill>
                <a:srgbClr val="FFFF00"/>
              </a:solidFill>
              <a:prstDash val="dashDot"/>
              <a:round/>
            </a:ln>
            <a:effectLst/>
          </c:spPr>
          <c:marker>
            <c:symbol val="none"/>
          </c:marker>
          <c:val>
            <c:numRef>
              <c:f>Maintenance!$K$16:$K$18</c:f>
              <c:numCache>
                <c:formatCode>"R"\ #\ ##0</c:formatCode>
                <c:ptCount val="3"/>
                <c:pt idx="0">
                  <c:v>201.50619742616786</c:v>
                </c:pt>
                <c:pt idx="1">
                  <c:v>201.50619742616786</c:v>
                </c:pt>
                <c:pt idx="2">
                  <c:v>201.50619742616786</c:v>
                </c:pt>
              </c:numCache>
            </c:numRef>
          </c:val>
          <c:smooth val="0"/>
          <c:extLst>
            <c:ext xmlns:c16="http://schemas.microsoft.com/office/drawing/2014/chart" uri="{C3380CC4-5D6E-409C-BE32-E72D297353CC}">
              <c16:uniqueId val="{00000008-B2CB-4668-84B5-D01841119F7C}"/>
            </c:ext>
          </c:extLst>
        </c:ser>
        <c:dLbls>
          <c:showLegendKey val="0"/>
          <c:showVal val="0"/>
          <c:showCatName val="0"/>
          <c:showSerName val="0"/>
          <c:showPercent val="0"/>
          <c:showBubbleSize val="0"/>
        </c:dLbls>
        <c:marker val="1"/>
        <c:smooth val="0"/>
        <c:axId val="1762778079"/>
        <c:axId val="1826620415"/>
      </c:lineChart>
      <c:catAx>
        <c:axId val="1762778079"/>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26620415"/>
        <c:crosses val="autoZero"/>
        <c:auto val="1"/>
        <c:lblAlgn val="ctr"/>
        <c:lblOffset val="100"/>
        <c:noMultiLvlLbl val="0"/>
      </c:catAx>
      <c:valAx>
        <c:axId val="182662041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62778079"/>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ZA"/>
              <a:t>Cost of Maintenance per</a:t>
            </a:r>
            <a:r>
              <a:rPr lang="en-ZA" baseline="0"/>
              <a:t> EFTS</a:t>
            </a:r>
            <a:endParaRPr lang="en-ZA" baseline="300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Maintenance!$J$14</c:f>
              <c:strCache>
                <c:ptCount val="1"/>
                <c:pt idx="0">
                  <c:v>R/EFTS</c:v>
                </c:pt>
              </c:strCache>
            </c:strRef>
          </c:tx>
          <c:spPr>
            <a:solidFill>
              <a:schemeClr val="accent1"/>
            </a:solidFill>
            <a:ln>
              <a:noFill/>
            </a:ln>
            <a:effectLst/>
          </c:spPr>
          <c:invertIfNegative val="0"/>
          <c:dPt>
            <c:idx val="0"/>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01-7A46-492F-B5E1-D0DF3ABDBF9A}"/>
              </c:ext>
            </c:extLst>
          </c:dPt>
          <c:dPt>
            <c:idx val="1"/>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03-7A46-492F-B5E1-D0DF3ABDBF9A}"/>
              </c:ext>
            </c:extLst>
          </c:dPt>
          <c:dPt>
            <c:idx val="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5-7A46-492F-B5E1-D0DF3ABDBF9A}"/>
              </c:ext>
            </c:extLst>
          </c:dPt>
          <c:cat>
            <c:strRef>
              <c:f>'General Statistical Data'!$A$16:$A$18</c:f>
              <c:strCache>
                <c:ptCount val="3"/>
                <c:pt idx="0">
                  <c:v>Stellenbosch University</c:v>
                </c:pt>
                <c:pt idx="1">
                  <c:v>University of Pretoria</c:v>
                </c:pt>
                <c:pt idx="2">
                  <c:v>University of South Africa</c:v>
                </c:pt>
              </c:strCache>
            </c:strRef>
          </c:cat>
          <c:val>
            <c:numRef>
              <c:f>Maintenance!$J$16:$J$18</c:f>
              <c:numCache>
                <c:formatCode>"R"\ #\ ##0</c:formatCode>
                <c:ptCount val="3"/>
                <c:pt idx="0">
                  <c:v>5413.3765915789472</c:v>
                </c:pt>
                <c:pt idx="1">
                  <c:v>2491.6664216928534</c:v>
                </c:pt>
                <c:pt idx="2">
                  <c:v>124.23333098144359</c:v>
                </c:pt>
              </c:numCache>
            </c:numRef>
          </c:val>
          <c:extLst>
            <c:ext xmlns:c16="http://schemas.microsoft.com/office/drawing/2014/chart" uri="{C3380CC4-5D6E-409C-BE32-E72D297353CC}">
              <c16:uniqueId val="{00000006-7A46-492F-B5E1-D0DF3ABDBF9A}"/>
            </c:ext>
          </c:extLst>
        </c:ser>
        <c:dLbls>
          <c:showLegendKey val="0"/>
          <c:showVal val="0"/>
          <c:showCatName val="0"/>
          <c:showSerName val="0"/>
          <c:showPercent val="0"/>
          <c:showBubbleSize val="0"/>
        </c:dLbls>
        <c:gapWidth val="150"/>
        <c:axId val="1762778079"/>
        <c:axId val="1826620415"/>
      </c:barChart>
      <c:lineChart>
        <c:grouping val="standard"/>
        <c:varyColors val="0"/>
        <c:ser>
          <c:idx val="1"/>
          <c:order val="1"/>
          <c:tx>
            <c:strRef>
              <c:f>'General Statistical Data'!$J$11:$J$13</c:f>
              <c:strCache>
                <c:ptCount val="3"/>
                <c:pt idx="0">
                  <c:v>Mean</c:v>
                </c:pt>
              </c:strCache>
            </c:strRef>
          </c:tx>
          <c:spPr>
            <a:ln w="28575" cap="rnd">
              <a:solidFill>
                <a:schemeClr val="accent2"/>
              </a:solidFill>
              <a:round/>
            </a:ln>
            <a:effectLst/>
          </c:spPr>
          <c:marker>
            <c:symbol val="none"/>
          </c:marker>
          <c:cat>
            <c:strRef>
              <c:f>'General Statistical Data'!$A$16:$A$18</c:f>
              <c:strCache>
                <c:ptCount val="3"/>
                <c:pt idx="0">
                  <c:v>Stellenbosch University</c:v>
                </c:pt>
                <c:pt idx="1">
                  <c:v>University of Pretoria</c:v>
                </c:pt>
                <c:pt idx="2">
                  <c:v>University of South Africa</c:v>
                </c:pt>
              </c:strCache>
            </c:strRef>
          </c:cat>
          <c:val>
            <c:numRef>
              <c:f>Maintenance!$N$16:$N$18</c:f>
              <c:numCache>
                <c:formatCode>"R"\ #\ ##0</c:formatCode>
                <c:ptCount val="3"/>
                <c:pt idx="0">
                  <c:v>2491.6664216928534</c:v>
                </c:pt>
                <c:pt idx="1">
                  <c:v>2491.6664216928534</c:v>
                </c:pt>
                <c:pt idx="2">
                  <c:v>2491.6664216928534</c:v>
                </c:pt>
              </c:numCache>
            </c:numRef>
          </c:val>
          <c:smooth val="0"/>
          <c:extLst>
            <c:ext xmlns:c16="http://schemas.microsoft.com/office/drawing/2014/chart" uri="{C3380CC4-5D6E-409C-BE32-E72D297353CC}">
              <c16:uniqueId val="{00000007-7A46-492F-B5E1-D0DF3ABDBF9A}"/>
            </c:ext>
          </c:extLst>
        </c:ser>
        <c:ser>
          <c:idx val="2"/>
          <c:order val="2"/>
          <c:tx>
            <c:strRef>
              <c:f>'General Statistical Data'!$K$11:$K$13</c:f>
              <c:strCache>
                <c:ptCount val="3"/>
                <c:pt idx="0">
                  <c:v>Median</c:v>
                </c:pt>
              </c:strCache>
            </c:strRef>
          </c:tx>
          <c:spPr>
            <a:ln w="28575" cap="rnd">
              <a:solidFill>
                <a:srgbClr val="FFFF00"/>
              </a:solidFill>
              <a:prstDash val="dashDot"/>
              <a:round/>
            </a:ln>
            <a:effectLst/>
          </c:spPr>
          <c:marker>
            <c:symbol val="none"/>
          </c:marker>
          <c:val>
            <c:numRef>
              <c:f>Maintenance!$M$16:$M$18</c:f>
              <c:numCache>
                <c:formatCode>"R"\ #\ ##0</c:formatCode>
                <c:ptCount val="3"/>
                <c:pt idx="0">
                  <c:v>2676.4254480844152</c:v>
                </c:pt>
                <c:pt idx="1">
                  <c:v>2676.4254480844152</c:v>
                </c:pt>
                <c:pt idx="2">
                  <c:v>2676.4254480844152</c:v>
                </c:pt>
              </c:numCache>
            </c:numRef>
          </c:val>
          <c:smooth val="0"/>
          <c:extLst>
            <c:ext xmlns:c16="http://schemas.microsoft.com/office/drawing/2014/chart" uri="{C3380CC4-5D6E-409C-BE32-E72D297353CC}">
              <c16:uniqueId val="{00000008-7A46-492F-B5E1-D0DF3ABDBF9A}"/>
            </c:ext>
          </c:extLst>
        </c:ser>
        <c:dLbls>
          <c:showLegendKey val="0"/>
          <c:showVal val="0"/>
          <c:showCatName val="0"/>
          <c:showSerName val="0"/>
          <c:showPercent val="0"/>
          <c:showBubbleSize val="0"/>
        </c:dLbls>
        <c:marker val="1"/>
        <c:smooth val="0"/>
        <c:axId val="1762778079"/>
        <c:axId val="1826620415"/>
      </c:lineChart>
      <c:catAx>
        <c:axId val="1762778079"/>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26620415"/>
        <c:crosses val="autoZero"/>
        <c:auto val="1"/>
        <c:lblAlgn val="ctr"/>
        <c:lblOffset val="100"/>
        <c:noMultiLvlLbl val="0"/>
      </c:catAx>
      <c:valAx>
        <c:axId val="182662041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62778079"/>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ZA"/>
              <a:t>Cost of Cleaning</a:t>
            </a:r>
            <a:r>
              <a:rPr lang="en-ZA" baseline="0"/>
              <a:t> Buildings Only </a:t>
            </a:r>
            <a:r>
              <a:rPr lang="en-ZA"/>
              <a:t>(R/m</a:t>
            </a:r>
            <a:r>
              <a:rPr lang="en-ZA" baseline="30000"/>
              <a:t>2</a:t>
            </a:r>
            <a:r>
              <a:rPr lang="en-ZA"/>
              <a:t> GFA)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'Cleaning and Waste'!$I$13</c:f>
              <c:strCache>
                <c:ptCount val="1"/>
                <c:pt idx="0">
                  <c:v>R/m2 GFA</c:v>
                </c:pt>
              </c:strCache>
            </c:strRef>
          </c:tx>
          <c:spPr>
            <a:solidFill>
              <a:schemeClr val="accent1"/>
            </a:solidFill>
            <a:ln>
              <a:noFill/>
            </a:ln>
            <a:effectLst/>
          </c:spPr>
          <c:invertIfNegative val="0"/>
          <c:dPt>
            <c:idx val="0"/>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01-94DF-4441-AF01-897CE58D4E40}"/>
              </c:ext>
            </c:extLst>
          </c:dPt>
          <c:dPt>
            <c:idx val="1"/>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03-94DF-4441-AF01-897CE58D4E40}"/>
              </c:ext>
            </c:extLst>
          </c:dPt>
          <c:dPt>
            <c:idx val="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5-94DF-4441-AF01-897CE58D4E40}"/>
              </c:ext>
            </c:extLst>
          </c:dPt>
          <c:cat>
            <c:strRef>
              <c:f>'General Statistical Data'!$A$16:$A$18</c:f>
              <c:strCache>
                <c:ptCount val="3"/>
                <c:pt idx="0">
                  <c:v>Stellenbosch University</c:v>
                </c:pt>
                <c:pt idx="1">
                  <c:v>University of Pretoria</c:v>
                </c:pt>
                <c:pt idx="2">
                  <c:v>University of South Africa</c:v>
                </c:pt>
              </c:strCache>
            </c:strRef>
          </c:cat>
          <c:val>
            <c:numRef>
              <c:f>'Cleaning and Waste'!$I$15:$I$17</c:f>
              <c:numCache>
                <c:formatCode>#,##0</c:formatCode>
                <c:ptCount val="3"/>
                <c:pt idx="0">
                  <c:v>50.678031760020623</c:v>
                </c:pt>
                <c:pt idx="1">
                  <c:v>70.177887830829334</c:v>
                </c:pt>
                <c:pt idx="2">
                  <c:v>110.56823733165159</c:v>
                </c:pt>
              </c:numCache>
            </c:numRef>
          </c:val>
          <c:extLst>
            <c:ext xmlns:c16="http://schemas.microsoft.com/office/drawing/2014/chart" uri="{C3380CC4-5D6E-409C-BE32-E72D297353CC}">
              <c16:uniqueId val="{00000006-94DF-4441-AF01-897CE58D4E40}"/>
            </c:ext>
          </c:extLst>
        </c:ser>
        <c:dLbls>
          <c:showLegendKey val="0"/>
          <c:showVal val="0"/>
          <c:showCatName val="0"/>
          <c:showSerName val="0"/>
          <c:showPercent val="0"/>
          <c:showBubbleSize val="0"/>
        </c:dLbls>
        <c:gapWidth val="150"/>
        <c:axId val="1762778079"/>
        <c:axId val="1826620415"/>
      </c:barChart>
      <c:lineChart>
        <c:grouping val="standard"/>
        <c:varyColors val="0"/>
        <c:ser>
          <c:idx val="1"/>
          <c:order val="1"/>
          <c:tx>
            <c:strRef>
              <c:f>'General Statistical Data'!$J$11:$J$13</c:f>
              <c:strCache>
                <c:ptCount val="3"/>
                <c:pt idx="0">
                  <c:v>Mean</c:v>
                </c:pt>
              </c:strCache>
            </c:strRef>
          </c:tx>
          <c:spPr>
            <a:ln w="28575" cap="rnd">
              <a:solidFill>
                <a:schemeClr val="accent2"/>
              </a:solidFill>
              <a:round/>
            </a:ln>
            <a:effectLst/>
          </c:spPr>
          <c:marker>
            <c:symbol val="none"/>
          </c:marker>
          <c:cat>
            <c:strRef>
              <c:f>'General Statistical Data'!$A$16:$A$18</c:f>
              <c:strCache>
                <c:ptCount val="3"/>
                <c:pt idx="0">
                  <c:v>Stellenbosch University</c:v>
                </c:pt>
                <c:pt idx="1">
                  <c:v>University of Pretoria</c:v>
                </c:pt>
                <c:pt idx="2">
                  <c:v>University of South Africa</c:v>
                </c:pt>
              </c:strCache>
            </c:strRef>
          </c:cat>
          <c:val>
            <c:numRef>
              <c:f>'Cleaning and Waste'!$L$16:$L$18</c:f>
              <c:numCache>
                <c:formatCode>"R"\ #\ ##0</c:formatCode>
                <c:ptCount val="3"/>
                <c:pt idx="0">
                  <c:v>77.141385640833846</c:v>
                </c:pt>
                <c:pt idx="1">
                  <c:v>77.141385640833846</c:v>
                </c:pt>
                <c:pt idx="2">
                  <c:v>77.141385640833846</c:v>
                </c:pt>
              </c:numCache>
            </c:numRef>
          </c:val>
          <c:smooth val="0"/>
          <c:extLst>
            <c:ext xmlns:c16="http://schemas.microsoft.com/office/drawing/2014/chart" uri="{C3380CC4-5D6E-409C-BE32-E72D297353CC}">
              <c16:uniqueId val="{00000007-94DF-4441-AF01-897CE58D4E40}"/>
            </c:ext>
          </c:extLst>
        </c:ser>
        <c:ser>
          <c:idx val="2"/>
          <c:order val="2"/>
          <c:tx>
            <c:strRef>
              <c:f>'General Statistical Data'!$K$11:$K$13</c:f>
              <c:strCache>
                <c:ptCount val="3"/>
                <c:pt idx="0">
                  <c:v>Median</c:v>
                </c:pt>
              </c:strCache>
            </c:strRef>
          </c:tx>
          <c:spPr>
            <a:ln w="28575" cap="rnd">
              <a:solidFill>
                <a:srgbClr val="FFFF00"/>
              </a:solidFill>
              <a:prstDash val="dashDot"/>
              <a:round/>
            </a:ln>
            <a:effectLst/>
          </c:spPr>
          <c:marker>
            <c:symbol val="none"/>
          </c:marker>
          <c:val>
            <c:numRef>
              <c:f>'Cleaning and Waste'!$M$16:$M$18</c:f>
              <c:numCache>
                <c:formatCode>"R"\ #\ ##0</c:formatCode>
                <c:ptCount val="3"/>
                <c:pt idx="0">
                  <c:v>70.177887830829334</c:v>
                </c:pt>
                <c:pt idx="1">
                  <c:v>70.177887830829334</c:v>
                </c:pt>
                <c:pt idx="2">
                  <c:v>70.177887830829334</c:v>
                </c:pt>
              </c:numCache>
            </c:numRef>
          </c:val>
          <c:smooth val="0"/>
          <c:extLst>
            <c:ext xmlns:c16="http://schemas.microsoft.com/office/drawing/2014/chart" uri="{C3380CC4-5D6E-409C-BE32-E72D297353CC}">
              <c16:uniqueId val="{00000008-94DF-4441-AF01-897CE58D4E40}"/>
            </c:ext>
          </c:extLst>
        </c:ser>
        <c:dLbls>
          <c:showLegendKey val="0"/>
          <c:showVal val="0"/>
          <c:showCatName val="0"/>
          <c:showSerName val="0"/>
          <c:showPercent val="0"/>
          <c:showBubbleSize val="0"/>
        </c:dLbls>
        <c:marker val="1"/>
        <c:smooth val="0"/>
        <c:axId val="1762778079"/>
        <c:axId val="1826620415"/>
      </c:lineChart>
      <c:catAx>
        <c:axId val="1762778079"/>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26620415"/>
        <c:crosses val="autoZero"/>
        <c:auto val="1"/>
        <c:lblAlgn val="ctr"/>
        <c:lblOffset val="100"/>
        <c:noMultiLvlLbl val="0"/>
      </c:catAx>
      <c:valAx>
        <c:axId val="182662041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62778079"/>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ZA"/>
              <a:t>Total Cost of Cleaning Buildings (R/m</a:t>
            </a:r>
            <a:r>
              <a:rPr lang="en-ZA" baseline="30000"/>
              <a:t>2</a:t>
            </a:r>
            <a:r>
              <a:rPr lang="en-ZA"/>
              <a:t> GFA)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'Cleaning and Waste'!$J$13</c:f>
              <c:strCache>
                <c:ptCount val="1"/>
                <c:pt idx="0">
                  <c:v>R/m2 GFA</c:v>
                </c:pt>
              </c:strCache>
            </c:strRef>
          </c:tx>
          <c:spPr>
            <a:solidFill>
              <a:schemeClr val="accent1"/>
            </a:solidFill>
            <a:ln>
              <a:noFill/>
            </a:ln>
            <a:effectLst/>
          </c:spPr>
          <c:invertIfNegative val="0"/>
          <c:dPt>
            <c:idx val="0"/>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01-8626-4A29-A877-E1E612509DA6}"/>
              </c:ext>
            </c:extLst>
          </c:dPt>
          <c:dPt>
            <c:idx val="1"/>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03-8626-4A29-A877-E1E612509DA6}"/>
              </c:ext>
            </c:extLst>
          </c:dPt>
          <c:dPt>
            <c:idx val="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5-8626-4A29-A877-E1E612509DA6}"/>
              </c:ext>
            </c:extLst>
          </c:dPt>
          <c:cat>
            <c:strRef>
              <c:f>'General Statistical Data'!$A$16:$A$18</c:f>
              <c:strCache>
                <c:ptCount val="3"/>
                <c:pt idx="0">
                  <c:v>Stellenbosch University</c:v>
                </c:pt>
                <c:pt idx="1">
                  <c:v>University of Pretoria</c:v>
                </c:pt>
                <c:pt idx="2">
                  <c:v>University of South Africa</c:v>
                </c:pt>
              </c:strCache>
            </c:strRef>
          </c:cat>
          <c:val>
            <c:numRef>
              <c:f>'Cleaning and Waste'!$J$16:$J$18</c:f>
              <c:numCache>
                <c:formatCode>#,##0</c:formatCode>
                <c:ptCount val="3"/>
                <c:pt idx="0">
                  <c:v>87.05004471866971</c:v>
                </c:pt>
                <c:pt idx="1">
                  <c:v>124.39785768936495</c:v>
                </c:pt>
              </c:numCache>
            </c:numRef>
          </c:val>
          <c:extLst>
            <c:ext xmlns:c16="http://schemas.microsoft.com/office/drawing/2014/chart" uri="{C3380CC4-5D6E-409C-BE32-E72D297353CC}">
              <c16:uniqueId val="{00000006-8626-4A29-A877-E1E612509DA6}"/>
            </c:ext>
          </c:extLst>
        </c:ser>
        <c:dLbls>
          <c:showLegendKey val="0"/>
          <c:showVal val="0"/>
          <c:showCatName val="0"/>
          <c:showSerName val="0"/>
          <c:showPercent val="0"/>
          <c:showBubbleSize val="0"/>
        </c:dLbls>
        <c:gapWidth val="150"/>
        <c:axId val="1762778079"/>
        <c:axId val="1826620415"/>
      </c:barChart>
      <c:lineChart>
        <c:grouping val="standard"/>
        <c:varyColors val="0"/>
        <c:ser>
          <c:idx val="1"/>
          <c:order val="1"/>
          <c:tx>
            <c:strRef>
              <c:f>'General Statistical Data'!$L$11:$L$13</c:f>
              <c:strCache>
                <c:ptCount val="3"/>
                <c:pt idx="0">
                  <c:v>Mean</c:v>
                </c:pt>
              </c:strCache>
            </c:strRef>
          </c:tx>
          <c:spPr>
            <a:ln w="28575" cap="rnd">
              <a:solidFill>
                <a:schemeClr val="accent2"/>
              </a:solidFill>
              <a:round/>
            </a:ln>
            <a:effectLst/>
          </c:spPr>
          <c:marker>
            <c:symbol val="none"/>
          </c:marker>
          <c:cat>
            <c:strRef>
              <c:f>'General Statistical Data'!$A$16:$A$18</c:f>
              <c:strCache>
                <c:ptCount val="3"/>
                <c:pt idx="0">
                  <c:v>Stellenbosch University</c:v>
                </c:pt>
                <c:pt idx="1">
                  <c:v>University of Pretoria</c:v>
                </c:pt>
                <c:pt idx="2">
                  <c:v>University of South Africa</c:v>
                </c:pt>
              </c:strCache>
            </c:strRef>
          </c:cat>
          <c:val>
            <c:numRef>
              <c:f>'Cleaning and Waste'!$N$16:$N$18</c:f>
              <c:numCache>
                <c:formatCode>"R"\ #\ ##0</c:formatCode>
                <c:ptCount val="3"/>
                <c:pt idx="0">
                  <c:v>89.281537193695996</c:v>
                </c:pt>
                <c:pt idx="1">
                  <c:v>89.281537193695996</c:v>
                </c:pt>
                <c:pt idx="2">
                  <c:v>89.281537193695996</c:v>
                </c:pt>
              </c:numCache>
            </c:numRef>
          </c:val>
          <c:smooth val="0"/>
          <c:extLst>
            <c:ext xmlns:c16="http://schemas.microsoft.com/office/drawing/2014/chart" uri="{C3380CC4-5D6E-409C-BE32-E72D297353CC}">
              <c16:uniqueId val="{00000007-8626-4A29-A877-E1E612509DA6}"/>
            </c:ext>
          </c:extLst>
        </c:ser>
        <c:ser>
          <c:idx val="2"/>
          <c:order val="2"/>
          <c:tx>
            <c:strRef>
              <c:f>'General Statistical Data'!$M$11:$M$13</c:f>
              <c:strCache>
                <c:ptCount val="3"/>
                <c:pt idx="0">
                  <c:v>Median</c:v>
                </c:pt>
              </c:strCache>
            </c:strRef>
          </c:tx>
          <c:spPr>
            <a:ln w="28575" cap="rnd">
              <a:solidFill>
                <a:srgbClr val="FFFF00"/>
              </a:solidFill>
              <a:prstDash val="dashDot"/>
              <a:round/>
            </a:ln>
            <a:effectLst/>
          </c:spPr>
          <c:marker>
            <c:symbol val="none"/>
          </c:marker>
          <c:val>
            <c:numRef>
              <c:f>'Cleaning and Waste'!$O$16:$O$18</c:f>
              <c:numCache>
                <c:formatCode>"R"\ #\ ##0</c:formatCode>
                <c:ptCount val="3"/>
                <c:pt idx="0">
                  <c:v>87.05004471866971</c:v>
                </c:pt>
                <c:pt idx="1">
                  <c:v>87.05004471866971</c:v>
                </c:pt>
                <c:pt idx="2">
                  <c:v>87.05004471866971</c:v>
                </c:pt>
              </c:numCache>
            </c:numRef>
          </c:val>
          <c:smooth val="0"/>
          <c:extLst>
            <c:ext xmlns:c16="http://schemas.microsoft.com/office/drawing/2014/chart" uri="{C3380CC4-5D6E-409C-BE32-E72D297353CC}">
              <c16:uniqueId val="{00000008-8626-4A29-A877-E1E612509DA6}"/>
            </c:ext>
          </c:extLst>
        </c:ser>
        <c:dLbls>
          <c:showLegendKey val="0"/>
          <c:showVal val="0"/>
          <c:showCatName val="0"/>
          <c:showSerName val="0"/>
          <c:showPercent val="0"/>
          <c:showBubbleSize val="0"/>
        </c:dLbls>
        <c:marker val="1"/>
        <c:smooth val="0"/>
        <c:axId val="1762778079"/>
        <c:axId val="1826620415"/>
      </c:lineChart>
      <c:catAx>
        <c:axId val="1762778079"/>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26620415"/>
        <c:crosses val="autoZero"/>
        <c:auto val="1"/>
        <c:lblAlgn val="ctr"/>
        <c:lblOffset val="100"/>
        <c:noMultiLvlLbl val="0"/>
      </c:catAx>
      <c:valAx>
        <c:axId val="182662041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62778079"/>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ZA"/>
              <a:t>Total Cleaning </a:t>
            </a:r>
            <a:r>
              <a:rPr lang="en-ZA" sz="1400" b="0" i="0" u="none" strike="noStrike" baseline="0">
                <a:effectLst/>
              </a:rPr>
              <a:t>Cost</a:t>
            </a:r>
            <a:r>
              <a:rPr lang="en-ZA"/>
              <a:t> (R/EFTS)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'Cleaning and Waste'!$K$13</c:f>
              <c:strCache>
                <c:ptCount val="1"/>
                <c:pt idx="0">
                  <c:v>R / EFTS</c:v>
                </c:pt>
              </c:strCache>
            </c:strRef>
          </c:tx>
          <c:spPr>
            <a:solidFill>
              <a:schemeClr val="accent1"/>
            </a:solidFill>
            <a:ln>
              <a:noFill/>
            </a:ln>
            <a:effectLst/>
          </c:spPr>
          <c:invertIfNegative val="0"/>
          <c:dPt>
            <c:idx val="0"/>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01-133F-42E5-B92F-C4EE2EB97C6F}"/>
              </c:ext>
            </c:extLst>
          </c:dPt>
          <c:dPt>
            <c:idx val="1"/>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03-133F-42E5-B92F-C4EE2EB97C6F}"/>
              </c:ext>
            </c:extLst>
          </c:dPt>
          <c:dPt>
            <c:idx val="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5-133F-42E5-B92F-C4EE2EB97C6F}"/>
              </c:ext>
            </c:extLst>
          </c:dPt>
          <c:cat>
            <c:strRef>
              <c:f>'General Statistical Data'!$A$16:$A$18</c:f>
              <c:strCache>
                <c:ptCount val="3"/>
                <c:pt idx="0">
                  <c:v>Stellenbosch University</c:v>
                </c:pt>
                <c:pt idx="1">
                  <c:v>University of Pretoria</c:v>
                </c:pt>
                <c:pt idx="2">
                  <c:v>University of South Africa</c:v>
                </c:pt>
              </c:strCache>
            </c:strRef>
          </c:cat>
          <c:val>
            <c:numRef>
              <c:f>'Cleaning and Waste'!$K$15:$K$17</c:f>
              <c:numCache>
                <c:formatCode>#,##0</c:formatCode>
                <c:ptCount val="3"/>
                <c:pt idx="0">
                  <c:v>1853.7705162105271</c:v>
                </c:pt>
                <c:pt idx="1">
                  <c:v>1154.8470136847438</c:v>
                </c:pt>
                <c:pt idx="2">
                  <c:v>50.772768252624317</c:v>
                </c:pt>
              </c:numCache>
            </c:numRef>
          </c:val>
          <c:extLst>
            <c:ext xmlns:c16="http://schemas.microsoft.com/office/drawing/2014/chart" uri="{C3380CC4-5D6E-409C-BE32-E72D297353CC}">
              <c16:uniqueId val="{00000006-133F-42E5-B92F-C4EE2EB97C6F}"/>
            </c:ext>
          </c:extLst>
        </c:ser>
        <c:dLbls>
          <c:showLegendKey val="0"/>
          <c:showVal val="0"/>
          <c:showCatName val="0"/>
          <c:showSerName val="0"/>
          <c:showPercent val="0"/>
          <c:showBubbleSize val="0"/>
        </c:dLbls>
        <c:gapWidth val="150"/>
        <c:axId val="1762778079"/>
        <c:axId val="1826620415"/>
      </c:barChart>
      <c:lineChart>
        <c:grouping val="standard"/>
        <c:varyColors val="0"/>
        <c:ser>
          <c:idx val="1"/>
          <c:order val="1"/>
          <c:tx>
            <c:strRef>
              <c:f>'General Statistical Data'!$L$11:$L$13</c:f>
              <c:strCache>
                <c:ptCount val="3"/>
                <c:pt idx="0">
                  <c:v>Mean</c:v>
                </c:pt>
              </c:strCache>
            </c:strRef>
          </c:tx>
          <c:spPr>
            <a:ln w="28575" cap="rnd">
              <a:solidFill>
                <a:schemeClr val="accent2"/>
              </a:solidFill>
              <a:round/>
            </a:ln>
            <a:effectLst/>
          </c:spPr>
          <c:marker>
            <c:symbol val="none"/>
          </c:marker>
          <c:cat>
            <c:strRef>
              <c:f>'General Statistical Data'!$A$16:$A$18</c:f>
              <c:strCache>
                <c:ptCount val="3"/>
                <c:pt idx="0">
                  <c:v>Stellenbosch University</c:v>
                </c:pt>
                <c:pt idx="1">
                  <c:v>University of Pretoria</c:v>
                </c:pt>
                <c:pt idx="2">
                  <c:v>University of South Africa</c:v>
                </c:pt>
              </c:strCache>
            </c:strRef>
          </c:cat>
          <c:val>
            <c:numRef>
              <c:f>'Cleaning and Waste'!$P$16:$P$18</c:f>
              <c:numCache>
                <c:formatCode>"R"\ #\ ##0</c:formatCode>
                <c:ptCount val="3"/>
                <c:pt idx="0">
                  <c:v>1019.7967660492985</c:v>
                </c:pt>
                <c:pt idx="1">
                  <c:v>1019.7967660492985</c:v>
                </c:pt>
                <c:pt idx="2">
                  <c:v>1019.7967660492985</c:v>
                </c:pt>
              </c:numCache>
            </c:numRef>
          </c:val>
          <c:smooth val="0"/>
          <c:extLst>
            <c:ext xmlns:c16="http://schemas.microsoft.com/office/drawing/2014/chart" uri="{C3380CC4-5D6E-409C-BE32-E72D297353CC}">
              <c16:uniqueId val="{00000007-133F-42E5-B92F-C4EE2EB97C6F}"/>
            </c:ext>
          </c:extLst>
        </c:ser>
        <c:ser>
          <c:idx val="2"/>
          <c:order val="2"/>
          <c:tx>
            <c:strRef>
              <c:f>'General Statistical Data'!$M$11:$M$13</c:f>
              <c:strCache>
                <c:ptCount val="3"/>
                <c:pt idx="0">
                  <c:v>Median</c:v>
                </c:pt>
              </c:strCache>
            </c:strRef>
          </c:tx>
          <c:spPr>
            <a:ln w="28575" cap="rnd">
              <a:solidFill>
                <a:srgbClr val="FFFF00"/>
              </a:solidFill>
              <a:prstDash val="dashDot"/>
              <a:round/>
            </a:ln>
            <a:effectLst/>
          </c:spPr>
          <c:marker>
            <c:symbol val="none"/>
          </c:marker>
          <c:val>
            <c:numRef>
              <c:f>'Cleaning and Waste'!$Q$16:$Q$18</c:f>
              <c:numCache>
                <c:formatCode>"R"\ #\ ##0</c:formatCode>
                <c:ptCount val="3"/>
                <c:pt idx="0">
                  <c:v>1154.8470136847438</c:v>
                </c:pt>
                <c:pt idx="1">
                  <c:v>1154.8470136847438</c:v>
                </c:pt>
                <c:pt idx="2">
                  <c:v>1154.8470136847438</c:v>
                </c:pt>
              </c:numCache>
            </c:numRef>
          </c:val>
          <c:smooth val="0"/>
          <c:extLst>
            <c:ext xmlns:c16="http://schemas.microsoft.com/office/drawing/2014/chart" uri="{C3380CC4-5D6E-409C-BE32-E72D297353CC}">
              <c16:uniqueId val="{00000008-133F-42E5-B92F-C4EE2EB97C6F}"/>
            </c:ext>
          </c:extLst>
        </c:ser>
        <c:dLbls>
          <c:showLegendKey val="0"/>
          <c:showVal val="0"/>
          <c:showCatName val="0"/>
          <c:showSerName val="0"/>
          <c:showPercent val="0"/>
          <c:showBubbleSize val="0"/>
        </c:dLbls>
        <c:marker val="1"/>
        <c:smooth val="0"/>
        <c:axId val="1762778079"/>
        <c:axId val="1826620415"/>
      </c:lineChart>
      <c:catAx>
        <c:axId val="1762778079"/>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26620415"/>
        <c:crosses val="autoZero"/>
        <c:auto val="1"/>
        <c:lblAlgn val="ctr"/>
        <c:lblOffset val="100"/>
        <c:noMultiLvlLbl val="0"/>
      </c:catAx>
      <c:valAx>
        <c:axId val="182662041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62778079"/>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 Id="rId5" Type="http://schemas.openxmlformats.org/officeDocument/2006/relationships/chart" Target="../charts/chart15.xml"/><Relationship Id="rId4" Type="http://schemas.openxmlformats.org/officeDocument/2006/relationships/chart" Target="../charts/chart14.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twoCellAnchor editAs="oneCell">
    <xdr:from>
      <xdr:col>0</xdr:col>
      <xdr:colOff>203200</xdr:colOff>
      <xdr:row>112</xdr:row>
      <xdr:rowOff>63500</xdr:rowOff>
    </xdr:from>
    <xdr:to>
      <xdr:col>7</xdr:col>
      <xdr:colOff>177800</xdr:colOff>
      <xdr:row>129</xdr:row>
      <xdr:rowOff>114300</xdr:rowOff>
    </xdr:to>
    <xdr:pic>
      <xdr:nvPicPr>
        <xdr:cNvPr id="5" name="Picture 4">
          <a:extLst>
            <a:ext uri="{FF2B5EF4-FFF2-40B4-BE49-F238E27FC236}">
              <a16:creationId xmlns:a16="http://schemas.microsoft.com/office/drawing/2014/main" id="{63387521-2398-2644-9CEF-E3CC5CA4042F}"/>
            </a:ext>
          </a:extLst>
        </xdr:cNvPr>
        <xdr:cNvPicPr>
          <a:picLocks noChangeAspect="1"/>
        </xdr:cNvPicPr>
      </xdr:nvPicPr>
      <xdr:blipFill>
        <a:blip xmlns:r="http://schemas.openxmlformats.org/officeDocument/2006/relationships" r:embed="rId1"/>
        <a:stretch>
          <a:fillRect/>
        </a:stretch>
      </xdr:blipFill>
      <xdr:spPr>
        <a:xfrm>
          <a:off x="203200" y="21399500"/>
          <a:ext cx="5753100" cy="2933700"/>
        </a:xfrm>
        <a:prstGeom prst="rect">
          <a:avLst/>
        </a:prstGeom>
      </xdr:spPr>
    </xdr:pic>
    <xdr:clientData/>
  </xdr:twoCellAnchor>
  <xdr:twoCellAnchor editAs="oneCell">
    <xdr:from>
      <xdr:col>0</xdr:col>
      <xdr:colOff>215900</xdr:colOff>
      <xdr:row>131</xdr:row>
      <xdr:rowOff>101600</xdr:rowOff>
    </xdr:from>
    <xdr:to>
      <xdr:col>7</xdr:col>
      <xdr:colOff>444500</xdr:colOff>
      <xdr:row>186</xdr:row>
      <xdr:rowOff>139700</xdr:rowOff>
    </xdr:to>
    <xdr:pic>
      <xdr:nvPicPr>
        <xdr:cNvPr id="6" name="Picture 5">
          <a:extLst>
            <a:ext uri="{FF2B5EF4-FFF2-40B4-BE49-F238E27FC236}">
              <a16:creationId xmlns:a16="http://schemas.microsoft.com/office/drawing/2014/main" id="{DF23458F-F009-9746-92B1-8E5493D8C080}"/>
            </a:ext>
          </a:extLst>
        </xdr:cNvPr>
        <xdr:cNvPicPr>
          <a:picLocks noChangeAspect="1"/>
        </xdr:cNvPicPr>
      </xdr:nvPicPr>
      <xdr:blipFill>
        <a:blip xmlns:r="http://schemas.openxmlformats.org/officeDocument/2006/relationships" r:embed="rId2"/>
        <a:stretch>
          <a:fillRect/>
        </a:stretch>
      </xdr:blipFill>
      <xdr:spPr>
        <a:xfrm>
          <a:off x="215900" y="24650700"/>
          <a:ext cx="6007100" cy="9118600"/>
        </a:xfrm>
        <a:prstGeom prst="rect">
          <a:avLst/>
        </a:prstGeom>
      </xdr:spPr>
    </xdr:pic>
    <xdr:clientData/>
  </xdr:twoCellAnchor>
  <xdr:twoCellAnchor editAs="oneCell">
    <xdr:from>
      <xdr:col>0</xdr:col>
      <xdr:colOff>63500</xdr:colOff>
      <xdr:row>188</xdr:row>
      <xdr:rowOff>38100</xdr:rowOff>
    </xdr:from>
    <xdr:to>
      <xdr:col>7</xdr:col>
      <xdr:colOff>749300</xdr:colOff>
      <xdr:row>245</xdr:row>
      <xdr:rowOff>101600</xdr:rowOff>
    </xdr:to>
    <xdr:pic>
      <xdr:nvPicPr>
        <xdr:cNvPr id="7" name="Picture 6">
          <a:extLst>
            <a:ext uri="{FF2B5EF4-FFF2-40B4-BE49-F238E27FC236}">
              <a16:creationId xmlns:a16="http://schemas.microsoft.com/office/drawing/2014/main" id="{DA12B91C-1F39-084A-B25B-C5E326DE8A45}"/>
            </a:ext>
          </a:extLst>
        </xdr:cNvPr>
        <xdr:cNvPicPr>
          <a:picLocks noChangeAspect="1"/>
        </xdr:cNvPicPr>
      </xdr:nvPicPr>
      <xdr:blipFill>
        <a:blip xmlns:r="http://schemas.openxmlformats.org/officeDocument/2006/relationships" r:embed="rId3"/>
        <a:stretch>
          <a:fillRect/>
        </a:stretch>
      </xdr:blipFill>
      <xdr:spPr>
        <a:xfrm>
          <a:off x="63500" y="33997900"/>
          <a:ext cx="6464300" cy="9474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66675</xdr:colOff>
      <xdr:row>17</xdr:row>
      <xdr:rowOff>9525</xdr:rowOff>
    </xdr:from>
    <xdr:to>
      <xdr:col>14</xdr:col>
      <xdr:colOff>714375</xdr:colOff>
      <xdr:row>31</xdr:row>
      <xdr:rowOff>104775</xdr:rowOff>
    </xdr:to>
    <xdr:graphicFrame macro="">
      <xdr:nvGraphicFramePr>
        <xdr:cNvPr id="4" name="Chart 3">
          <a:extLst>
            <a:ext uri="{FF2B5EF4-FFF2-40B4-BE49-F238E27FC236}">
              <a16:creationId xmlns:a16="http://schemas.microsoft.com/office/drawing/2014/main" id="{4CC73104-760F-4E5F-B8E4-1DF7F2BB1A6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15</xdr:col>
      <xdr:colOff>57149</xdr:colOff>
      <xdr:row>10</xdr:row>
      <xdr:rowOff>0</xdr:rowOff>
    </xdr:from>
    <xdr:to>
      <xdr:col>22</xdr:col>
      <xdr:colOff>38099</xdr:colOff>
      <xdr:row>22</xdr:row>
      <xdr:rowOff>0</xdr:rowOff>
    </xdr:to>
    <xdr:graphicFrame macro="">
      <xdr:nvGraphicFramePr>
        <xdr:cNvPr id="2" name="Chart 1">
          <a:extLst>
            <a:ext uri="{FF2B5EF4-FFF2-40B4-BE49-F238E27FC236}">
              <a16:creationId xmlns:a16="http://schemas.microsoft.com/office/drawing/2014/main" id="{EF8E7F9E-264B-4D5D-B086-2EE84428472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0</xdr:colOff>
      <xdr:row>23</xdr:row>
      <xdr:rowOff>0</xdr:rowOff>
    </xdr:from>
    <xdr:to>
      <xdr:col>21</xdr:col>
      <xdr:colOff>962025</xdr:colOff>
      <xdr:row>37</xdr:row>
      <xdr:rowOff>0</xdr:rowOff>
    </xdr:to>
    <xdr:graphicFrame macro="">
      <xdr:nvGraphicFramePr>
        <xdr:cNvPr id="3" name="Chart 2">
          <a:extLst>
            <a:ext uri="{FF2B5EF4-FFF2-40B4-BE49-F238E27FC236}">
              <a16:creationId xmlns:a16="http://schemas.microsoft.com/office/drawing/2014/main" id="{8B6B6042-656F-48C9-972F-8FD28B143C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38</xdr:row>
      <xdr:rowOff>0</xdr:rowOff>
    </xdr:from>
    <xdr:to>
      <xdr:col>21</xdr:col>
      <xdr:colOff>962025</xdr:colOff>
      <xdr:row>52</xdr:row>
      <xdr:rowOff>0</xdr:rowOff>
    </xdr:to>
    <xdr:graphicFrame macro="">
      <xdr:nvGraphicFramePr>
        <xdr:cNvPr id="4" name="Chart 3">
          <a:extLst>
            <a:ext uri="{FF2B5EF4-FFF2-40B4-BE49-F238E27FC236}">
              <a16:creationId xmlns:a16="http://schemas.microsoft.com/office/drawing/2014/main" id="{63F511A1-BC72-41FE-AFBA-29122EF2BD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14</xdr:col>
      <xdr:colOff>57149</xdr:colOff>
      <xdr:row>10</xdr:row>
      <xdr:rowOff>0</xdr:rowOff>
    </xdr:from>
    <xdr:to>
      <xdr:col>21</xdr:col>
      <xdr:colOff>38099</xdr:colOff>
      <xdr:row>22</xdr:row>
      <xdr:rowOff>0</xdr:rowOff>
    </xdr:to>
    <xdr:graphicFrame macro="">
      <xdr:nvGraphicFramePr>
        <xdr:cNvPr id="2" name="Chart 1">
          <a:extLst>
            <a:ext uri="{FF2B5EF4-FFF2-40B4-BE49-F238E27FC236}">
              <a16:creationId xmlns:a16="http://schemas.microsoft.com/office/drawing/2014/main" id="{7372C512-9654-4048-AC26-EE0E350621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0</xdr:colOff>
      <xdr:row>23</xdr:row>
      <xdr:rowOff>0</xdr:rowOff>
    </xdr:from>
    <xdr:to>
      <xdr:col>20</xdr:col>
      <xdr:colOff>962025</xdr:colOff>
      <xdr:row>37</xdr:row>
      <xdr:rowOff>0</xdr:rowOff>
    </xdr:to>
    <xdr:graphicFrame macro="">
      <xdr:nvGraphicFramePr>
        <xdr:cNvPr id="5" name="Chart 4">
          <a:extLst>
            <a:ext uri="{FF2B5EF4-FFF2-40B4-BE49-F238E27FC236}">
              <a16:creationId xmlns:a16="http://schemas.microsoft.com/office/drawing/2014/main" id="{05334178-FB67-4F5B-9D27-1ECC7F8377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17</xdr:col>
      <xdr:colOff>57149</xdr:colOff>
      <xdr:row>10</xdr:row>
      <xdr:rowOff>0</xdr:rowOff>
    </xdr:from>
    <xdr:to>
      <xdr:col>24</xdr:col>
      <xdr:colOff>38099</xdr:colOff>
      <xdr:row>22</xdr:row>
      <xdr:rowOff>0</xdr:rowOff>
    </xdr:to>
    <xdr:graphicFrame macro="">
      <xdr:nvGraphicFramePr>
        <xdr:cNvPr id="2" name="Chart 1">
          <a:extLst>
            <a:ext uri="{FF2B5EF4-FFF2-40B4-BE49-F238E27FC236}">
              <a16:creationId xmlns:a16="http://schemas.microsoft.com/office/drawing/2014/main" id="{3427B2D8-826F-4C15-B9EA-B6ED757747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0</xdr:colOff>
      <xdr:row>23</xdr:row>
      <xdr:rowOff>0</xdr:rowOff>
    </xdr:from>
    <xdr:to>
      <xdr:col>23</xdr:col>
      <xdr:colOff>962025</xdr:colOff>
      <xdr:row>37</xdr:row>
      <xdr:rowOff>0</xdr:rowOff>
    </xdr:to>
    <xdr:graphicFrame macro="">
      <xdr:nvGraphicFramePr>
        <xdr:cNvPr id="3" name="Chart 2">
          <a:extLst>
            <a:ext uri="{FF2B5EF4-FFF2-40B4-BE49-F238E27FC236}">
              <a16:creationId xmlns:a16="http://schemas.microsoft.com/office/drawing/2014/main" id="{FAB0E46C-A154-4BCC-96A3-DE9E973902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0</xdr:colOff>
      <xdr:row>38</xdr:row>
      <xdr:rowOff>0</xdr:rowOff>
    </xdr:from>
    <xdr:to>
      <xdr:col>23</xdr:col>
      <xdr:colOff>962025</xdr:colOff>
      <xdr:row>52</xdr:row>
      <xdr:rowOff>0</xdr:rowOff>
    </xdr:to>
    <xdr:graphicFrame macro="">
      <xdr:nvGraphicFramePr>
        <xdr:cNvPr id="5" name="Chart 4">
          <a:extLst>
            <a:ext uri="{FF2B5EF4-FFF2-40B4-BE49-F238E27FC236}">
              <a16:creationId xmlns:a16="http://schemas.microsoft.com/office/drawing/2014/main" id="{A01084F2-E948-4311-892F-F1C0E466F8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8</xdr:col>
      <xdr:colOff>57149</xdr:colOff>
      <xdr:row>10</xdr:row>
      <xdr:rowOff>0</xdr:rowOff>
    </xdr:from>
    <xdr:to>
      <xdr:col>15</xdr:col>
      <xdr:colOff>38099</xdr:colOff>
      <xdr:row>22</xdr:row>
      <xdr:rowOff>0</xdr:rowOff>
    </xdr:to>
    <xdr:graphicFrame macro="">
      <xdr:nvGraphicFramePr>
        <xdr:cNvPr id="2" name="Chart 1">
          <a:extLst>
            <a:ext uri="{FF2B5EF4-FFF2-40B4-BE49-F238E27FC236}">
              <a16:creationId xmlns:a16="http://schemas.microsoft.com/office/drawing/2014/main" id="{60292939-58F2-4FA7-B021-F3EA06DD6C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19</xdr:col>
      <xdr:colOff>57149</xdr:colOff>
      <xdr:row>10</xdr:row>
      <xdr:rowOff>0</xdr:rowOff>
    </xdr:from>
    <xdr:to>
      <xdr:col>26</xdr:col>
      <xdr:colOff>38099</xdr:colOff>
      <xdr:row>22</xdr:row>
      <xdr:rowOff>0</xdr:rowOff>
    </xdr:to>
    <xdr:graphicFrame macro="">
      <xdr:nvGraphicFramePr>
        <xdr:cNvPr id="2" name="Chart 1">
          <a:extLst>
            <a:ext uri="{FF2B5EF4-FFF2-40B4-BE49-F238E27FC236}">
              <a16:creationId xmlns:a16="http://schemas.microsoft.com/office/drawing/2014/main" id="{937C6DDB-719A-4BC9-A05E-8F86B7E691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0</xdr:colOff>
      <xdr:row>23</xdr:row>
      <xdr:rowOff>0</xdr:rowOff>
    </xdr:from>
    <xdr:to>
      <xdr:col>25</xdr:col>
      <xdr:colOff>967067</xdr:colOff>
      <xdr:row>35</xdr:row>
      <xdr:rowOff>123266</xdr:rowOff>
    </xdr:to>
    <xdr:graphicFrame macro="">
      <xdr:nvGraphicFramePr>
        <xdr:cNvPr id="5" name="Chart 4">
          <a:extLst>
            <a:ext uri="{FF2B5EF4-FFF2-40B4-BE49-F238E27FC236}">
              <a16:creationId xmlns:a16="http://schemas.microsoft.com/office/drawing/2014/main" id="{5BEDBC3A-DDAC-4940-88D8-10874963F6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19</xdr:col>
      <xdr:colOff>0</xdr:colOff>
      <xdr:row>36</xdr:row>
      <xdr:rowOff>0</xdr:rowOff>
    </xdr:from>
    <xdr:to>
      <xdr:col>25</xdr:col>
      <xdr:colOff>967067</xdr:colOff>
      <xdr:row>49</xdr:row>
      <xdr:rowOff>22412</xdr:rowOff>
    </xdr:to>
    <xdr:graphicFrame macro="">
      <xdr:nvGraphicFramePr>
        <xdr:cNvPr id="6" name="Chart 5">
          <a:extLst>
            <a:ext uri="{FF2B5EF4-FFF2-40B4-BE49-F238E27FC236}">
              <a16:creationId xmlns:a16="http://schemas.microsoft.com/office/drawing/2014/main" id="{8CE84838-9F69-47C5-AA0A-1D8703ED36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19</xdr:col>
      <xdr:colOff>0</xdr:colOff>
      <xdr:row>50</xdr:row>
      <xdr:rowOff>0</xdr:rowOff>
    </xdr:from>
    <xdr:to>
      <xdr:col>25</xdr:col>
      <xdr:colOff>967067</xdr:colOff>
      <xdr:row>63</xdr:row>
      <xdr:rowOff>22412</xdr:rowOff>
    </xdr:to>
    <xdr:graphicFrame macro="">
      <xdr:nvGraphicFramePr>
        <xdr:cNvPr id="7" name="Chart 6">
          <a:extLst>
            <a:ext uri="{FF2B5EF4-FFF2-40B4-BE49-F238E27FC236}">
              <a16:creationId xmlns:a16="http://schemas.microsoft.com/office/drawing/2014/main" id="{9A825B8A-2BEE-4B54-8718-34FB858509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xdr:col>
      <xdr:colOff>0</xdr:colOff>
      <xdr:row>64</xdr:row>
      <xdr:rowOff>0</xdr:rowOff>
    </xdr:from>
    <xdr:to>
      <xdr:col>25</xdr:col>
      <xdr:colOff>967067</xdr:colOff>
      <xdr:row>77</xdr:row>
      <xdr:rowOff>22412</xdr:rowOff>
    </xdr:to>
    <xdr:graphicFrame macro="">
      <xdr:nvGraphicFramePr>
        <xdr:cNvPr id="8" name="Chart 7">
          <a:extLst>
            <a:ext uri="{FF2B5EF4-FFF2-40B4-BE49-F238E27FC236}">
              <a16:creationId xmlns:a16="http://schemas.microsoft.com/office/drawing/2014/main" id="{9AACCD46-B4E4-45D6-802C-A7EC350823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14</xdr:col>
      <xdr:colOff>57149</xdr:colOff>
      <xdr:row>10</xdr:row>
      <xdr:rowOff>0</xdr:rowOff>
    </xdr:from>
    <xdr:to>
      <xdr:col>21</xdr:col>
      <xdr:colOff>38099</xdr:colOff>
      <xdr:row>22</xdr:row>
      <xdr:rowOff>0</xdr:rowOff>
    </xdr:to>
    <xdr:graphicFrame macro="">
      <xdr:nvGraphicFramePr>
        <xdr:cNvPr id="2" name="Chart 1">
          <a:extLst>
            <a:ext uri="{FF2B5EF4-FFF2-40B4-BE49-F238E27FC236}">
              <a16:creationId xmlns:a16="http://schemas.microsoft.com/office/drawing/2014/main" id="{162376AB-5780-44BC-AADE-442A3A0446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0</xdr:colOff>
      <xdr:row>23</xdr:row>
      <xdr:rowOff>0</xdr:rowOff>
    </xdr:from>
    <xdr:to>
      <xdr:col>20</xdr:col>
      <xdr:colOff>962025</xdr:colOff>
      <xdr:row>34</xdr:row>
      <xdr:rowOff>114300</xdr:rowOff>
    </xdr:to>
    <xdr:graphicFrame macro="">
      <xdr:nvGraphicFramePr>
        <xdr:cNvPr id="6" name="Chart 5">
          <a:extLst>
            <a:ext uri="{FF2B5EF4-FFF2-40B4-BE49-F238E27FC236}">
              <a16:creationId xmlns:a16="http://schemas.microsoft.com/office/drawing/2014/main" id="{A24E4CF0-6543-4189-ADB1-79E2DE76BE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rank%20Duvenhage/Documents/01_Frank/Documents/02_Consulting/07_SUN%20energy%20management/Benchmarking/HEFMA/Benchmark%20template%20for%202017%20Hefma%20Survey%20Form_Unisa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ilding Operating Costs"/>
      <sheetName val="General Statistical Data"/>
      <sheetName val="Maintenance"/>
      <sheetName val="Cleaning and Waste"/>
      <sheetName val="Grounds Maintenance"/>
      <sheetName val="Security"/>
      <sheetName val="Energy"/>
    </sheetNames>
    <sheetDataSet>
      <sheetData sheetId="0" refreshError="1"/>
      <sheetData sheetId="1">
        <row r="18">
          <cell r="H18">
            <v>21192</v>
          </cell>
        </row>
      </sheetData>
      <sheetData sheetId="2" refreshError="1"/>
      <sheetData sheetId="3" refreshError="1"/>
      <sheetData sheetId="4" refreshError="1"/>
      <sheetData sheetId="5" refreshError="1"/>
      <sheetData sheetId="6" refreshError="1"/>
    </sheetDataSet>
  </externalBook>
</externalLink>
</file>

<file path=xl/persons/person.xml><?xml version="1.0" encoding="utf-8"?>
<personList xmlns="http://schemas.microsoft.com/office/spreadsheetml/2018/threadedcomments" xmlns:x="http://schemas.openxmlformats.org/spreadsheetml/2006/main">
  <person displayName="Frank Duvenhage" id="{8935711E-FF3C-4C72-B2AE-816A182519BC}" userId="Frank Duvenhage"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18" dT="2019-02-19T13:30:47.95" personId="{8935711E-FF3C-4C72-B2AE-816A182519BC}" id="{10DDB6B9-EEB1-4FDB-A0B5-A497FCBEC2B4}">
    <text>Data from 2016</text>
  </threadedComment>
</ThreadedComments>
</file>

<file path=xl/threadedComments/threadedComment2.xml><?xml version="1.0" encoding="utf-8"?>
<ThreadedComments xmlns="http://schemas.microsoft.com/office/spreadsheetml/2018/threadedcomments" xmlns:x="http://schemas.openxmlformats.org/spreadsheetml/2006/main">
  <threadedComment ref="B23" dT="2019-02-19T14:19:52.89" personId="{8935711E-FF3C-4C72-B2AE-816A182519BC}" id="{4A7D49D3-5838-4542-BBD3-ED2E4D146FD6}">
    <text>2016 value was 559720</text>
  </threadedComment>
  <threadedComment ref="C23" dT="2019-02-19T14:19:37.53" personId="{8935711E-FF3C-4C72-B2AE-816A182519BC}" id="{58B909C7-6716-4E7F-B7BC-0E093924C9FD}">
    <text>2016 value was 79807570</text>
  </threadedComment>
  <threadedComment ref="D23" dT="2019-02-19T14:18:47.17" personId="{8935711E-FF3C-4C72-B2AE-816A182519BC}" id="{33849520-2A41-4D4F-B691-FBCF4E56606F}">
    <text>Seems too low compared to 2016 value of 519353</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en.wikipedia.org/wiki/Onderstepoort"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6.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71D80-451C-394F-B556-24422B481F6C}">
  <dimension ref="A1:A118"/>
  <sheetViews>
    <sheetView tabSelected="1" topLeftCell="A76" workbookViewId="0">
      <selection activeCell="J203" sqref="J203"/>
    </sheetView>
  </sheetViews>
  <sheetFormatPr baseColWidth="10" defaultRowHeight="13"/>
  <sheetData>
    <row r="1" spans="1:1" ht="15">
      <c r="A1" s="110" t="s">
        <v>123</v>
      </c>
    </row>
    <row r="2" spans="1:1" ht="15">
      <c r="A2" s="111" t="s">
        <v>124</v>
      </c>
    </row>
    <row r="3" spans="1:1" ht="15">
      <c r="A3" s="112" t="s">
        <v>125</v>
      </c>
    </row>
    <row r="4" spans="1:1" ht="15">
      <c r="A4" s="112" t="s">
        <v>126</v>
      </c>
    </row>
    <row r="5" spans="1:1" ht="15">
      <c r="A5" s="112" t="s">
        <v>127</v>
      </c>
    </row>
    <row r="6" spans="1:1" ht="15">
      <c r="A6" s="112" t="s">
        <v>128</v>
      </c>
    </row>
    <row r="7" spans="1:1" ht="15">
      <c r="A7" s="112" t="s">
        <v>129</v>
      </c>
    </row>
    <row r="8" spans="1:1" ht="17">
      <c r="A8" s="112" t="s">
        <v>130</v>
      </c>
    </row>
    <row r="9" spans="1:1" ht="15">
      <c r="A9" s="112" t="s">
        <v>131</v>
      </c>
    </row>
    <row r="10" spans="1:1" ht="15">
      <c r="A10" s="112" t="s">
        <v>132</v>
      </c>
    </row>
    <row r="11" spans="1:1" ht="15">
      <c r="A11" s="110" t="s">
        <v>133</v>
      </c>
    </row>
    <row r="12" spans="1:1" ht="15">
      <c r="A12" s="111" t="s">
        <v>134</v>
      </c>
    </row>
    <row r="13" spans="1:1" ht="15">
      <c r="A13" s="112" t="s">
        <v>135</v>
      </c>
    </row>
    <row r="14" spans="1:1" ht="15">
      <c r="A14" s="112"/>
    </row>
    <row r="15" spans="1:1" ht="15">
      <c r="A15" s="111" t="s">
        <v>136</v>
      </c>
    </row>
    <row r="16" spans="1:1" ht="15">
      <c r="A16" s="112" t="s">
        <v>137</v>
      </c>
    </row>
    <row r="17" spans="1:1" ht="15">
      <c r="A17" s="112"/>
    </row>
    <row r="18" spans="1:1" ht="15">
      <c r="A18" s="112"/>
    </row>
    <row r="19" spans="1:1" ht="15">
      <c r="A19" s="111" t="s">
        <v>112</v>
      </c>
    </row>
    <row r="20" spans="1:1" ht="15">
      <c r="A20" s="112" t="s">
        <v>138</v>
      </c>
    </row>
    <row r="21" spans="1:1" ht="15">
      <c r="A21" s="113" t="s">
        <v>139</v>
      </c>
    </row>
    <row r="22" spans="1:1" ht="15">
      <c r="A22" s="114" t="s">
        <v>140</v>
      </c>
    </row>
    <row r="23" spans="1:1" ht="15">
      <c r="A23" s="114" t="s">
        <v>141</v>
      </c>
    </row>
    <row r="24" spans="1:1" ht="15">
      <c r="A24" s="114" t="s">
        <v>142</v>
      </c>
    </row>
    <row r="25" spans="1:1" ht="15">
      <c r="A25" s="113" t="s">
        <v>143</v>
      </c>
    </row>
    <row r="26" spans="1:1" ht="15">
      <c r="A26" s="114" t="s">
        <v>144</v>
      </c>
    </row>
    <row r="27" spans="1:1" ht="15">
      <c r="A27" s="114" t="s">
        <v>145</v>
      </c>
    </row>
    <row r="28" spans="1:1" ht="15">
      <c r="A28" s="114" t="s">
        <v>146</v>
      </c>
    </row>
    <row r="29" spans="1:1" ht="15">
      <c r="A29" s="113" t="s">
        <v>147</v>
      </c>
    </row>
    <row r="30" spans="1:1" ht="15">
      <c r="A30" s="115" t="s">
        <v>134</v>
      </c>
    </row>
    <row r="31" spans="1:1" ht="15">
      <c r="A31" s="114" t="s">
        <v>148</v>
      </c>
    </row>
    <row r="32" spans="1:1" ht="15">
      <c r="A32" s="115" t="s">
        <v>149</v>
      </c>
    </row>
    <row r="33" spans="1:1">
      <c r="A33" s="116" t="s">
        <v>150</v>
      </c>
    </row>
    <row r="34" spans="1:1" ht="15">
      <c r="A34" s="115" t="s">
        <v>151</v>
      </c>
    </row>
    <row r="35" spans="1:1" ht="15">
      <c r="A35" s="114" t="s">
        <v>152</v>
      </c>
    </row>
    <row r="36" spans="1:1" ht="15">
      <c r="A36" s="113" t="s">
        <v>153</v>
      </c>
    </row>
    <row r="37" spans="1:1" ht="15">
      <c r="A37" s="114" t="s">
        <v>154</v>
      </c>
    </row>
    <row r="38" spans="1:1" ht="15">
      <c r="A38" s="113" t="s">
        <v>155</v>
      </c>
    </row>
    <row r="39" spans="1:1" ht="15">
      <c r="A39" s="115" t="s">
        <v>134</v>
      </c>
    </row>
    <row r="40" spans="1:1" ht="15">
      <c r="A40" s="114" t="s">
        <v>156</v>
      </c>
    </row>
    <row r="41" spans="1:1" ht="15">
      <c r="A41" s="115" t="s">
        <v>149</v>
      </c>
    </row>
    <row r="42" spans="1:1" ht="15">
      <c r="A42" s="114" t="s">
        <v>157</v>
      </c>
    </row>
    <row r="43" spans="1:1" ht="15">
      <c r="A43" s="115" t="s">
        <v>151</v>
      </c>
    </row>
    <row r="44" spans="1:1" ht="15">
      <c r="A44" s="114"/>
    </row>
    <row r="45" spans="1:1" ht="15">
      <c r="A45" s="114" t="s">
        <v>158</v>
      </c>
    </row>
    <row r="46" spans="1:1" ht="15">
      <c r="A46" s="113" t="s">
        <v>159</v>
      </c>
    </row>
    <row r="47" spans="1:1" ht="15">
      <c r="A47" s="114" t="s">
        <v>160</v>
      </c>
    </row>
    <row r="48" spans="1:1" ht="15">
      <c r="A48" s="112"/>
    </row>
    <row r="49" spans="1:1" ht="15">
      <c r="A49" s="112" t="s">
        <v>161</v>
      </c>
    </row>
    <row r="50" spans="1:1" ht="15">
      <c r="A50" s="112" t="s">
        <v>162</v>
      </c>
    </row>
    <row r="51" spans="1:1" ht="15">
      <c r="A51" s="112" t="s">
        <v>163</v>
      </c>
    </row>
    <row r="52" spans="1:1" ht="15">
      <c r="A52" s="117">
        <v>43009</v>
      </c>
    </row>
    <row r="53" spans="1:1" ht="15">
      <c r="A53" s="112" t="s">
        <v>164</v>
      </c>
    </row>
    <row r="54" spans="1:1" ht="15">
      <c r="A54" s="112" t="s">
        <v>165</v>
      </c>
    </row>
    <row r="55" spans="1:1" ht="15">
      <c r="A55" s="112" t="s">
        <v>166</v>
      </c>
    </row>
    <row r="56" spans="1:1" ht="15">
      <c r="A56" s="112" t="s">
        <v>167</v>
      </c>
    </row>
    <row r="57" spans="1:1" ht="15">
      <c r="A57" s="112" t="s">
        <v>168</v>
      </c>
    </row>
    <row r="58" spans="1:1" ht="15">
      <c r="A58" s="112" t="s">
        <v>169</v>
      </c>
    </row>
    <row r="59" spans="1:1" ht="15">
      <c r="A59" s="112" t="s">
        <v>170</v>
      </c>
    </row>
    <row r="60" spans="1:1" ht="15">
      <c r="A60" s="112" t="s">
        <v>171</v>
      </c>
    </row>
    <row r="61" spans="1:1" ht="15">
      <c r="A61" s="110" t="s">
        <v>172</v>
      </c>
    </row>
    <row r="62" spans="1:1" ht="15">
      <c r="A62" s="112">
        <v>-2017</v>
      </c>
    </row>
    <row r="63" spans="1:1" ht="15">
      <c r="A63" s="110" t="s">
        <v>173</v>
      </c>
    </row>
    <row r="64" spans="1:1" ht="15">
      <c r="A64" s="112" t="s">
        <v>174</v>
      </c>
    </row>
    <row r="65" spans="1:1" ht="15">
      <c r="A65" s="112" t="s">
        <v>175</v>
      </c>
    </row>
    <row r="66" spans="1:1" ht="15">
      <c r="A66" s="110" t="s">
        <v>176</v>
      </c>
    </row>
    <row r="67" spans="1:1" ht="15">
      <c r="A67" s="112" t="s">
        <v>177</v>
      </c>
    </row>
    <row r="68" spans="1:1" ht="15">
      <c r="A68" s="112" t="s">
        <v>175</v>
      </c>
    </row>
    <row r="69" spans="1:1" ht="15">
      <c r="A69" s="110" t="s">
        <v>178</v>
      </c>
    </row>
    <row r="70" spans="1:1" ht="15">
      <c r="A70" s="112" t="s">
        <v>179</v>
      </c>
    </row>
    <row r="71" spans="1:1" ht="15">
      <c r="A71" s="112" t="s">
        <v>180</v>
      </c>
    </row>
    <row r="72" spans="1:1" ht="15">
      <c r="A72" s="110" t="s">
        <v>181</v>
      </c>
    </row>
    <row r="73" spans="1:1" ht="15">
      <c r="A73" s="112" t="s">
        <v>182</v>
      </c>
    </row>
    <row r="74" spans="1:1" ht="15">
      <c r="A74" s="112" t="s">
        <v>183</v>
      </c>
    </row>
    <row r="75" spans="1:1" ht="15">
      <c r="A75" s="110" t="s">
        <v>184</v>
      </c>
    </row>
    <row r="76" spans="1:1" ht="15">
      <c r="A76" s="112" t="s">
        <v>185</v>
      </c>
    </row>
    <row r="77" spans="1:1" ht="15">
      <c r="A77" s="112" t="s">
        <v>186</v>
      </c>
    </row>
    <row r="78" spans="1:1" ht="15">
      <c r="A78" s="110" t="s">
        <v>187</v>
      </c>
    </row>
    <row r="79" spans="1:1" ht="15">
      <c r="A79" s="112" t="s">
        <v>188</v>
      </c>
    </row>
    <row r="80" spans="1:1" ht="15">
      <c r="A80" s="112" t="s">
        <v>189</v>
      </c>
    </row>
    <row r="81" spans="1:1" ht="15">
      <c r="A81" s="110" t="s">
        <v>190</v>
      </c>
    </row>
    <row r="82" spans="1:1" ht="15">
      <c r="A82" s="112" t="s">
        <v>191</v>
      </c>
    </row>
    <row r="83" spans="1:1" ht="15">
      <c r="A83" s="112" t="s">
        <v>175</v>
      </c>
    </row>
    <row r="84" spans="1:1" ht="15">
      <c r="A84" s="112" t="s">
        <v>164</v>
      </c>
    </row>
    <row r="85" spans="1:1" ht="15">
      <c r="A85" s="112" t="s">
        <v>165</v>
      </c>
    </row>
    <row r="86" spans="1:1" ht="15">
      <c r="A86" s="112" t="s">
        <v>166</v>
      </c>
    </row>
    <row r="87" spans="1:1" ht="15">
      <c r="A87" s="112" t="s">
        <v>192</v>
      </c>
    </row>
    <row r="88" spans="1:1" ht="15">
      <c r="A88" s="112" t="s">
        <v>193</v>
      </c>
    </row>
    <row r="89" spans="1:1" ht="15">
      <c r="A89" s="112" t="s">
        <v>194</v>
      </c>
    </row>
    <row r="90" spans="1:1" ht="15">
      <c r="A90" s="112" t="s">
        <v>195</v>
      </c>
    </row>
    <row r="91" spans="1:1" ht="15">
      <c r="A91" s="112" t="s">
        <v>196</v>
      </c>
    </row>
    <row r="92" spans="1:1" ht="15">
      <c r="A92" s="112" t="s">
        <v>197</v>
      </c>
    </row>
    <row r="93" spans="1:1" ht="15">
      <c r="A93" s="112" t="s">
        <v>198</v>
      </c>
    </row>
    <row r="94" spans="1:1" ht="15">
      <c r="A94" s="112" t="s">
        <v>199</v>
      </c>
    </row>
    <row r="95" spans="1:1" ht="15">
      <c r="A95" s="112" t="s">
        <v>200</v>
      </c>
    </row>
    <row r="96" spans="1:1" ht="15">
      <c r="A96" s="112" t="s">
        <v>201</v>
      </c>
    </row>
    <row r="97" spans="1:1" ht="15">
      <c r="A97" s="112" t="s">
        <v>202</v>
      </c>
    </row>
    <row r="98" spans="1:1" ht="15">
      <c r="A98" s="112" t="s">
        <v>203</v>
      </c>
    </row>
    <row r="99" spans="1:1" ht="15">
      <c r="A99" s="112" t="s">
        <v>204</v>
      </c>
    </row>
    <row r="100" spans="1:1" ht="15">
      <c r="A100" s="112" t="s">
        <v>205</v>
      </c>
    </row>
    <row r="101" spans="1:1" ht="15">
      <c r="A101" s="112" t="s">
        <v>206</v>
      </c>
    </row>
    <row r="102" spans="1:1" ht="15">
      <c r="A102" s="112" t="s">
        <v>115</v>
      </c>
    </row>
    <row r="103" spans="1:1" ht="15">
      <c r="A103" s="112" t="s">
        <v>114</v>
      </c>
    </row>
    <row r="104" spans="1:1" ht="15">
      <c r="A104" s="112" t="s">
        <v>207</v>
      </c>
    </row>
    <row r="105" spans="1:1" ht="15">
      <c r="A105" s="112" t="s">
        <v>208</v>
      </c>
    </row>
    <row r="106" spans="1:1" ht="15">
      <c r="A106" s="112" t="s">
        <v>209</v>
      </c>
    </row>
    <row r="107" spans="1:1" ht="15">
      <c r="A107" s="112" t="s">
        <v>210</v>
      </c>
    </row>
    <row r="108" spans="1:1" ht="15">
      <c r="A108" s="112" t="s">
        <v>211</v>
      </c>
    </row>
    <row r="109" spans="1:1" ht="15">
      <c r="A109" s="112" t="s">
        <v>164</v>
      </c>
    </row>
    <row r="110" spans="1:1" ht="15">
      <c r="A110" s="112" t="s">
        <v>165</v>
      </c>
    </row>
    <row r="111" spans="1:1" ht="15">
      <c r="A111" s="112" t="s">
        <v>166</v>
      </c>
    </row>
    <row r="112" spans="1:1" ht="15">
      <c r="A112" s="112" t="s">
        <v>212</v>
      </c>
    </row>
    <row r="115" spans="1:1" ht="15">
      <c r="A115" s="112"/>
    </row>
    <row r="116" spans="1:1" ht="15">
      <c r="A116" s="112"/>
    </row>
    <row r="118" spans="1:1" ht="15">
      <c r="A118" s="112"/>
    </row>
  </sheetData>
  <hyperlinks>
    <hyperlink ref="A33" r:id="rId1" tooltip="Onderstepoort" display="https://en.wikipedia.org/wiki/Onderstepoort" xr:uid="{6D2693A4-0F59-B24B-8D65-4BFC87466ECC}"/>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8"/>
  <sheetViews>
    <sheetView topLeftCell="E12" workbookViewId="0">
      <selection activeCell="J16" sqref="J16"/>
    </sheetView>
  </sheetViews>
  <sheetFormatPr baseColWidth="10" defaultColWidth="14.6640625" defaultRowHeight="18" customHeight="1"/>
  <sheetData>
    <row r="1" spans="2:12" ht="18" customHeight="1">
      <c r="B1" s="119" t="s">
        <v>113</v>
      </c>
      <c r="C1" s="119"/>
      <c r="D1" s="119"/>
      <c r="E1" s="119"/>
      <c r="F1" s="119"/>
      <c r="G1" s="119"/>
      <c r="H1" s="119"/>
      <c r="I1" s="119"/>
      <c r="J1" s="119"/>
    </row>
    <row r="3" spans="2:12" ht="18" customHeight="1">
      <c r="B3" s="120" t="s">
        <v>101</v>
      </c>
      <c r="C3" s="120"/>
      <c r="D3" s="120"/>
      <c r="E3" s="120"/>
      <c r="F3" s="120"/>
      <c r="G3" s="120"/>
      <c r="H3" s="120"/>
      <c r="I3" s="120"/>
      <c r="J3" s="120"/>
    </row>
    <row r="4" spans="2:12" ht="18" customHeight="1">
      <c r="B4" s="120"/>
      <c r="C4" s="120"/>
      <c r="D4" s="120"/>
      <c r="E4" s="120"/>
      <c r="F4" s="120"/>
      <c r="G4" s="120"/>
      <c r="H4" s="120"/>
      <c r="I4" s="120"/>
      <c r="J4" s="120"/>
    </row>
    <row r="5" spans="2:12" ht="18" customHeight="1">
      <c r="B5" s="57" t="s">
        <v>72</v>
      </c>
      <c r="C5" s="55"/>
      <c r="D5" s="55"/>
      <c r="E5" s="55"/>
      <c r="F5" s="55"/>
      <c r="G5" s="55"/>
      <c r="H5" s="55"/>
      <c r="I5" s="55"/>
      <c r="J5" s="55"/>
    </row>
    <row r="6" spans="2:12" ht="18" customHeight="1">
      <c r="B6" s="118" t="s">
        <v>98</v>
      </c>
      <c r="C6" s="118"/>
      <c r="D6" s="118"/>
      <c r="E6" s="118"/>
      <c r="F6" s="118"/>
      <c r="G6" s="118"/>
      <c r="H6" s="118"/>
      <c r="I6" s="118"/>
      <c r="J6" s="118"/>
    </row>
    <row r="7" spans="2:12" ht="18" customHeight="1">
      <c r="B7" s="118"/>
      <c r="C7" s="118"/>
      <c r="D7" s="118"/>
      <c r="E7" s="118"/>
      <c r="F7" s="118"/>
      <c r="G7" s="118"/>
      <c r="H7" s="118"/>
      <c r="I7" s="118"/>
      <c r="J7" s="118"/>
      <c r="L7" s="56"/>
    </row>
    <row r="8" spans="2:12" ht="18" customHeight="1">
      <c r="B8" s="118" t="s">
        <v>102</v>
      </c>
      <c r="C8" s="118"/>
      <c r="D8" s="118"/>
      <c r="E8" s="118"/>
      <c r="F8" s="118"/>
      <c r="G8" s="118"/>
      <c r="H8" s="118"/>
      <c r="I8" s="118"/>
      <c r="J8" s="118"/>
      <c r="L8" s="56"/>
    </row>
    <row r="9" spans="2:12" ht="27" customHeight="1">
      <c r="B9" s="118" t="s">
        <v>73</v>
      </c>
      <c r="C9" s="118"/>
      <c r="D9" s="118"/>
      <c r="E9" s="118"/>
      <c r="F9" s="118"/>
      <c r="G9" s="118"/>
      <c r="H9" s="118"/>
      <c r="I9" s="118"/>
      <c r="J9" s="118"/>
      <c r="L9" s="56"/>
    </row>
    <row r="10" spans="2:12" ht="18" customHeight="1">
      <c r="B10" s="118"/>
      <c r="C10" s="118"/>
      <c r="D10" s="118"/>
      <c r="E10" s="118"/>
      <c r="F10" s="118"/>
      <c r="G10" s="118"/>
      <c r="H10" s="118"/>
      <c r="I10" s="118"/>
      <c r="J10" s="118"/>
      <c r="L10" s="56"/>
    </row>
    <row r="11" spans="2:12" ht="18" customHeight="1">
      <c r="B11" s="118" t="s">
        <v>99</v>
      </c>
      <c r="C11" s="118"/>
      <c r="D11" s="118"/>
      <c r="E11" s="118"/>
      <c r="F11" s="118"/>
      <c r="G11" s="118"/>
      <c r="H11" s="118"/>
      <c r="I11" s="118"/>
      <c r="J11" s="118"/>
    </row>
    <row r="12" spans="2:12" ht="18" customHeight="1">
      <c r="B12" s="118" t="s">
        <v>111</v>
      </c>
      <c r="C12" s="118"/>
      <c r="D12" s="118"/>
      <c r="E12" s="118"/>
      <c r="F12" s="118"/>
      <c r="G12" s="118"/>
      <c r="H12" s="118"/>
      <c r="I12" s="118"/>
      <c r="J12" s="118"/>
    </row>
    <row r="13" spans="2:12" ht="18" customHeight="1">
      <c r="B13" s="118"/>
      <c r="C13" s="118"/>
      <c r="D13" s="118"/>
      <c r="E13" s="118"/>
      <c r="F13" s="118"/>
      <c r="G13" s="118"/>
      <c r="H13" s="118"/>
      <c r="I13" s="118"/>
      <c r="J13" s="118"/>
    </row>
    <row r="14" spans="2:12" ht="18" customHeight="1">
      <c r="B14" s="118" t="s">
        <v>100</v>
      </c>
      <c r="C14" s="118"/>
      <c r="D14" s="118"/>
      <c r="E14" s="118"/>
      <c r="F14" s="118"/>
      <c r="G14" s="118"/>
      <c r="H14" s="118"/>
      <c r="I14" s="118"/>
      <c r="J14" s="118"/>
    </row>
    <row r="15" spans="2:12" ht="18" customHeight="1">
      <c r="B15" s="118"/>
      <c r="C15" s="118"/>
      <c r="D15" s="118"/>
      <c r="E15" s="118"/>
      <c r="F15" s="118"/>
      <c r="G15" s="118"/>
      <c r="H15" s="118"/>
      <c r="I15" s="118"/>
      <c r="J15" s="118"/>
    </row>
    <row r="16" spans="2:12" ht="18" customHeight="1" thickBot="1">
      <c r="B16" s="59"/>
      <c r="C16" s="59"/>
      <c r="D16" s="59"/>
      <c r="E16" s="59"/>
      <c r="F16" s="59" t="s">
        <v>118</v>
      </c>
      <c r="G16" s="59" t="s">
        <v>119</v>
      </c>
      <c r="H16" s="59" t="s">
        <v>120</v>
      </c>
      <c r="I16" s="59" t="s">
        <v>121</v>
      </c>
      <c r="J16" s="59" t="s">
        <v>122</v>
      </c>
    </row>
    <row r="17" spans="1:10" ht="18" customHeight="1">
      <c r="B17" s="121" t="s">
        <v>78</v>
      </c>
      <c r="C17" s="122"/>
      <c r="D17" s="122"/>
      <c r="E17" s="122"/>
      <c r="F17" s="122"/>
      <c r="G17" s="122"/>
      <c r="H17" s="122"/>
      <c r="I17" s="122"/>
      <c r="J17" s="123"/>
    </row>
    <row r="18" spans="1:10" s="3" customFormat="1" ht="18" customHeight="1">
      <c r="B18" s="126" t="s">
        <v>79</v>
      </c>
      <c r="C18" s="124" t="s">
        <v>80</v>
      </c>
      <c r="D18" s="124" t="s">
        <v>81</v>
      </c>
      <c r="E18" s="124" t="s">
        <v>82</v>
      </c>
      <c r="F18" s="124" t="s">
        <v>105</v>
      </c>
      <c r="G18" s="124" t="s">
        <v>107</v>
      </c>
      <c r="H18" s="124" t="s">
        <v>108</v>
      </c>
      <c r="I18" s="124" t="s">
        <v>109</v>
      </c>
      <c r="J18" s="125" t="s">
        <v>110</v>
      </c>
    </row>
    <row r="19" spans="1:10" s="3" customFormat="1" ht="18" customHeight="1">
      <c r="B19" s="126"/>
      <c r="C19" s="124"/>
      <c r="D19" s="124"/>
      <c r="E19" s="124"/>
      <c r="F19" s="124"/>
      <c r="G19" s="124"/>
      <c r="H19" s="124"/>
      <c r="I19" s="124"/>
      <c r="J19" s="125"/>
    </row>
    <row r="20" spans="1:10" s="3" customFormat="1" ht="18" customHeight="1">
      <c r="B20" s="126"/>
      <c r="C20" s="124"/>
      <c r="D20" s="124"/>
      <c r="E20" s="124"/>
      <c r="F20" s="124"/>
      <c r="G20" s="124"/>
      <c r="H20" s="124"/>
      <c r="I20" s="124"/>
      <c r="J20" s="125"/>
    </row>
    <row r="21" spans="1:10" s="1" customFormat="1" ht="18" customHeight="1">
      <c r="B21" s="78" t="s">
        <v>10</v>
      </c>
      <c r="C21" s="72" t="s">
        <v>11</v>
      </c>
      <c r="D21" s="72" t="s">
        <v>29</v>
      </c>
      <c r="E21" s="72" t="s">
        <v>83</v>
      </c>
      <c r="F21" s="72" t="s">
        <v>83</v>
      </c>
      <c r="G21" s="72" t="s">
        <v>83</v>
      </c>
      <c r="H21" s="72" t="s">
        <v>83</v>
      </c>
      <c r="I21" s="72" t="s">
        <v>83</v>
      </c>
      <c r="J21" s="79" t="s">
        <v>83</v>
      </c>
    </row>
    <row r="22" spans="1:10" s="6" customFormat="1" ht="27" customHeight="1">
      <c r="A22" s="23" t="s">
        <v>112</v>
      </c>
      <c r="B22" s="80">
        <f>Maintenance!G16+'Cleaning and Waste'!G15+Security!E22+Energy!C21+'Grounds Maintenance'!D22</f>
        <v>341819096.81</v>
      </c>
      <c r="C22" s="12">
        <f>Maintenance!I16+'Cleaning and Waste'!I15+Security!G22+Energy!G21</f>
        <v>371.60469165531219</v>
      </c>
      <c r="D22" s="12">
        <f>B22/'General Statistical Data'!H16</f>
        <v>14392.383023578948</v>
      </c>
      <c r="E22" s="73">
        <f>B22/'General Statistical Data'!F16</f>
        <v>3.5778574616718746E-2</v>
      </c>
      <c r="F22" s="74">
        <f>Maintenance!G16/'General Statistical Data'!F16</f>
        <v>1.3457319610859199E-2</v>
      </c>
      <c r="G22" s="74">
        <f>'Cleaning and Waste'!G15/'General Statistical Data'!F16</f>
        <v>4.6083589234563399E-3</v>
      </c>
      <c r="H22" s="74">
        <f>'Grounds Maintenance'!D22/'General Statistical Data'!F16</f>
        <v>1.8914844266924597E-3</v>
      </c>
      <c r="I22" s="74">
        <f>Security!E22/'General Statistical Data'!F16</f>
        <v>6.0922464373800236E-3</v>
      </c>
      <c r="J22" s="81">
        <f>Energy!C21/'General Statistical Data'!F16</f>
        <v>9.7291652183307282E-3</v>
      </c>
    </row>
    <row r="23" spans="1:10" s="6" customFormat="1" ht="27" customHeight="1">
      <c r="A23" s="23" t="s">
        <v>114</v>
      </c>
      <c r="B23" s="80">
        <f>Maintenance!G17+'Cleaning and Waste'!G16+Security!E23+Energy!C22+'Grounds Maintenance'!D23</f>
        <v>361383901.36000001</v>
      </c>
      <c r="C23" s="12">
        <f>Maintenance!I17+'Cleaning and Waste'!I16+Security!G23+Energy!G22</f>
        <v>458.11699675519236</v>
      </c>
      <c r="D23" s="12">
        <f>B23/'General Statistical Data'!H17</f>
        <v>9158.233688798784</v>
      </c>
      <c r="E23" s="73">
        <f>B23/'General Statistical Data'!F17</f>
        <v>3.2295375884809505E-2</v>
      </c>
      <c r="F23" s="74">
        <f>Maintenance!G17/'General Statistical Data'!F17</f>
        <v>8.7865527788998279E-3</v>
      </c>
      <c r="G23" s="74">
        <f>'Cleaning and Waste'!G16/'General Statistical Data'!F17</f>
        <v>4.0724248434514908E-3</v>
      </c>
      <c r="H23" s="74">
        <f>'Grounds Maintenance'!D23/'General Statistical Data'!F17</f>
        <v>2.7439578292252848E-3</v>
      </c>
      <c r="I23" s="74">
        <f>Security!E23/'General Statistical Data'!F17</f>
        <v>7.8964233650545279E-3</v>
      </c>
      <c r="J23" s="81">
        <f>Energy!C22/'General Statistical Data'!F17</f>
        <v>8.7960170681783741E-3</v>
      </c>
    </row>
    <row r="24" spans="1:10" s="6" customFormat="1" ht="27" customHeight="1">
      <c r="A24" s="23" t="s">
        <v>115</v>
      </c>
      <c r="B24" s="80">
        <f>Maintenance!G18+'Cleaning and Waste'!G17+Security!E24+Energy!C23+'Grounds Maintenance'!D24</f>
        <v>176931480.57142857</v>
      </c>
      <c r="C24" s="12">
        <f>Maintenance!I18+'Cleaning and Waste'!I17+Security!G24+Energy!G23</f>
        <v>723.07181828893363</v>
      </c>
      <c r="D24" s="12">
        <f>B24/'General Statistical Data'!H18</f>
        <v>231.17963024560075</v>
      </c>
      <c r="E24" s="73">
        <f>B24/'General Statistical Data'!F18</f>
        <v>2.2844252971087414E-2</v>
      </c>
      <c r="F24" s="74">
        <f>Maintenance!G18/'General Statistical Data'!F18</f>
        <v>1.2276244396471585E-2</v>
      </c>
      <c r="G24" s="74">
        <f>'Cleaning and Waste'!G17/'General Statistical Data'!F18</f>
        <v>5.0171633234862723E-3</v>
      </c>
      <c r="H24" s="74">
        <f>'Grounds Maintenance'!D24/'General Statistical Data'!F18</f>
        <v>8.5884202845515269E-4</v>
      </c>
      <c r="I24" s="74">
        <f>Security!E24/'General Statistical Data'!F18</f>
        <v>0</v>
      </c>
      <c r="J24" s="81">
        <f>Energy!C23/'General Statistical Data'!F18</f>
        <v>4.6920032226744068E-3</v>
      </c>
    </row>
    <row r="25" spans="1:10" ht="18" customHeight="1">
      <c r="B25" s="58"/>
      <c r="C25" s="31"/>
      <c r="D25" s="11"/>
      <c r="E25" s="33"/>
      <c r="F25" s="75"/>
      <c r="G25" s="76"/>
      <c r="H25" s="77"/>
      <c r="I25" s="77"/>
      <c r="J25" s="82"/>
    </row>
    <row r="26" spans="1:10" ht="18" customHeight="1">
      <c r="A26" s="94" t="s">
        <v>117</v>
      </c>
      <c r="B26" s="95">
        <f>AVERAGE(B22:B25)</f>
        <v>293378159.58047622</v>
      </c>
      <c r="C26" s="95">
        <f t="shared" ref="C26:J26" si="0">AVERAGE(C22:C25)</f>
        <v>517.59783556647938</v>
      </c>
      <c r="D26" s="95">
        <f t="shared" si="0"/>
        <v>7927.2654475411118</v>
      </c>
      <c r="E26" s="95">
        <f t="shared" si="0"/>
        <v>3.0306067824205224E-2</v>
      </c>
      <c r="F26" s="95">
        <f t="shared" si="0"/>
        <v>1.1506705595410205E-2</v>
      </c>
      <c r="G26" s="95">
        <f t="shared" si="0"/>
        <v>4.5659823634647007E-3</v>
      </c>
      <c r="H26" s="95">
        <f t="shared" si="0"/>
        <v>1.8314280947909656E-3</v>
      </c>
      <c r="I26" s="95">
        <f t="shared" si="0"/>
        <v>4.6628899341448508E-3</v>
      </c>
      <c r="J26" s="95">
        <f t="shared" si="0"/>
        <v>7.7390618363945033E-3</v>
      </c>
    </row>
    <row r="27" spans="1:10" ht="18" customHeight="1">
      <c r="A27" s="96" t="s">
        <v>116</v>
      </c>
      <c r="B27" s="97">
        <f>MEDIAN(B22:B25)</f>
        <v>341819096.81</v>
      </c>
      <c r="C27" s="97">
        <f t="shared" ref="C27:J27" si="1">MEDIAN(C22:C25)</f>
        <v>458.11699675519236</v>
      </c>
      <c r="D27" s="97">
        <f t="shared" si="1"/>
        <v>9158.233688798784</v>
      </c>
      <c r="E27" s="97">
        <f t="shared" si="1"/>
        <v>3.2295375884809505E-2</v>
      </c>
      <c r="F27" s="97">
        <f t="shared" si="1"/>
        <v>1.2276244396471585E-2</v>
      </c>
      <c r="G27" s="97">
        <f t="shared" si="1"/>
        <v>4.6083589234563399E-3</v>
      </c>
      <c r="H27" s="97">
        <f t="shared" si="1"/>
        <v>1.8914844266924597E-3</v>
      </c>
      <c r="I27" s="97">
        <f t="shared" si="1"/>
        <v>6.0922464373800236E-3</v>
      </c>
      <c r="J27" s="97">
        <f t="shared" si="1"/>
        <v>8.7960170681783741E-3</v>
      </c>
    </row>
    <row r="28" spans="1:10" ht="27" customHeight="1" thickBot="1">
      <c r="B28" s="69">
        <f>Maintenance!G22+'Cleaning and Waste'!G21+Security!E28+Energy!C27</f>
        <v>91870992.571428582</v>
      </c>
      <c r="C28" s="30">
        <f>Maintenance!I22+'Cleaning and Waste'!I21+Security!G28+Energy!G27</f>
        <v>226.36238325235641</v>
      </c>
      <c r="D28" s="30">
        <f>B28/'General Statistical Data'!H22</f>
        <v>4335.1732998975358</v>
      </c>
      <c r="E28" s="83">
        <f>B28/'General Statistical Data'!F22</f>
        <v>1.9000479459800917E-2</v>
      </c>
      <c r="F28" s="84" t="s">
        <v>106</v>
      </c>
      <c r="G28" s="84" t="s">
        <v>106</v>
      </c>
      <c r="H28" s="84" t="s">
        <v>106</v>
      </c>
      <c r="I28" s="84" t="s">
        <v>106</v>
      </c>
      <c r="J28" s="85" t="s">
        <v>106</v>
      </c>
    </row>
  </sheetData>
  <protectedRanges>
    <protectedRange sqref="A22" name="Range1"/>
    <protectedRange sqref="A23" name="Range1_1"/>
    <protectedRange sqref="A24" name="Range1_2"/>
  </protectedRanges>
  <mergeCells count="18">
    <mergeCell ref="B17:J17"/>
    <mergeCell ref="H18:H20"/>
    <mergeCell ref="I18:I20"/>
    <mergeCell ref="J18:J20"/>
    <mergeCell ref="B18:B20"/>
    <mergeCell ref="C18:C20"/>
    <mergeCell ref="D18:D20"/>
    <mergeCell ref="E18:E20"/>
    <mergeCell ref="F18:F20"/>
    <mergeCell ref="G18:G20"/>
    <mergeCell ref="B12:J13"/>
    <mergeCell ref="B14:J15"/>
    <mergeCell ref="B1:J1"/>
    <mergeCell ref="B3:J4"/>
    <mergeCell ref="B6:J7"/>
    <mergeCell ref="B11:J11"/>
    <mergeCell ref="B8:J8"/>
    <mergeCell ref="B9:J10"/>
  </mergeCells>
  <phoneticPr fontId="3" type="noConversion"/>
  <pageMargins left="0.75" right="0.75" top="1" bottom="1" header="0.5" footer="0.5"/>
  <pageSetup paperSize="9" orientation="landscape" horizontalDpi="4294967293"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22"/>
  <sheetViews>
    <sheetView topLeftCell="G34" zoomScale="70" zoomScaleNormal="70" workbookViewId="0">
      <selection activeCell="O42" sqref="O42"/>
    </sheetView>
  </sheetViews>
  <sheetFormatPr baseColWidth="10" defaultColWidth="14.6640625" defaultRowHeight="18" customHeight="1"/>
  <sheetData>
    <row r="1" spans="1:15" ht="18" customHeight="1">
      <c r="A1" s="119" t="s">
        <v>113</v>
      </c>
      <c r="B1" s="119"/>
      <c r="C1" s="119"/>
      <c r="D1" s="119"/>
      <c r="E1" s="119"/>
      <c r="F1" s="119"/>
      <c r="G1" s="119"/>
      <c r="H1" s="119"/>
      <c r="I1" s="119"/>
    </row>
    <row r="3" spans="1:15" s="53" customFormat="1" ht="21.75" customHeight="1">
      <c r="A3" s="128" t="s">
        <v>14</v>
      </c>
      <c r="B3" s="128" t="s">
        <v>65</v>
      </c>
      <c r="C3" s="128" t="s">
        <v>88</v>
      </c>
      <c r="D3" s="128" t="s">
        <v>89</v>
      </c>
      <c r="E3" s="128" t="s">
        <v>19</v>
      </c>
      <c r="F3" s="128" t="s">
        <v>90</v>
      </c>
      <c r="G3" s="128" t="s">
        <v>19</v>
      </c>
      <c r="H3" s="128" t="s">
        <v>20</v>
      </c>
      <c r="I3" s="128" t="s">
        <v>19</v>
      </c>
    </row>
    <row r="4" spans="1:15" s="53" customFormat="1" ht="15.75" customHeight="1">
      <c r="A4" s="134"/>
      <c r="B4" s="128"/>
      <c r="C4" s="128"/>
      <c r="D4" s="128"/>
      <c r="E4" s="128"/>
      <c r="F4" s="128"/>
      <c r="G4" s="128"/>
      <c r="H4" s="128"/>
      <c r="I4" s="128"/>
    </row>
    <row r="5" spans="1:15" s="53" customFormat="1" ht="18.75" customHeight="1">
      <c r="A5" s="134"/>
      <c r="B5" s="128"/>
      <c r="C5" s="128"/>
      <c r="D5" s="128"/>
      <c r="E5" s="128"/>
      <c r="F5" s="128"/>
      <c r="G5" s="128"/>
      <c r="H5" s="128"/>
      <c r="I5" s="128"/>
    </row>
    <row r="6" spans="1:15" s="53" customFormat="1" ht="19.5" customHeight="1">
      <c r="A6" s="134"/>
      <c r="B6" s="128"/>
      <c r="C6" s="128"/>
      <c r="D6" s="128"/>
      <c r="E6" s="128"/>
      <c r="F6" s="128"/>
      <c r="G6" s="128"/>
      <c r="H6" s="128"/>
      <c r="I6" s="128"/>
    </row>
    <row r="7" spans="1:15" s="53" customFormat="1" ht="30.75" customHeight="1">
      <c r="A7" s="134"/>
      <c r="B7" s="128"/>
      <c r="C7" s="128"/>
      <c r="D7" s="128"/>
      <c r="E7" s="128"/>
      <c r="F7" s="128"/>
      <c r="G7" s="128"/>
      <c r="H7" s="128"/>
      <c r="I7" s="128"/>
    </row>
    <row r="8" spans="1:15" ht="18" customHeight="1" thickBot="1">
      <c r="A8" s="2"/>
      <c r="B8" s="2"/>
      <c r="C8" s="2"/>
      <c r="D8" s="2"/>
      <c r="E8" s="2"/>
      <c r="F8" s="2"/>
      <c r="G8" s="2"/>
      <c r="H8" s="2"/>
      <c r="I8" s="2"/>
    </row>
    <row r="9" spans="1:15" ht="18" customHeight="1">
      <c r="A9" s="121" t="s">
        <v>0</v>
      </c>
      <c r="B9" s="122"/>
      <c r="C9" s="122"/>
      <c r="D9" s="122"/>
      <c r="E9" s="122"/>
      <c r="F9" s="122"/>
      <c r="G9" s="122"/>
      <c r="H9" s="122"/>
      <c r="I9" s="123"/>
    </row>
    <row r="10" spans="1:15" ht="18" customHeight="1">
      <c r="A10" s="5">
        <v>1</v>
      </c>
      <c r="B10" s="4">
        <v>2</v>
      </c>
      <c r="C10" s="4">
        <v>3</v>
      </c>
      <c r="D10" s="4">
        <v>4</v>
      </c>
      <c r="E10" s="7">
        <v>5</v>
      </c>
      <c r="F10" s="4">
        <v>6</v>
      </c>
      <c r="G10" s="7">
        <v>7</v>
      </c>
      <c r="H10" s="4">
        <v>8</v>
      </c>
      <c r="I10" s="8">
        <v>9</v>
      </c>
      <c r="J10" t="str">
        <f>$E$11</f>
        <v>AFA/GFA</v>
      </c>
      <c r="K10" t="str">
        <f>$E$11</f>
        <v>AFA/GFA</v>
      </c>
      <c r="L10" t="str">
        <f>$G$11</f>
        <v>Replacement cost of Buildings R/m2 buildings</v>
      </c>
      <c r="M10" t="str">
        <f>$G$11</f>
        <v>Replacement cost of Buildings R/m2 buildings</v>
      </c>
      <c r="N10" t="str">
        <f>$I$11</f>
        <v>GFA provided per EFTS</v>
      </c>
      <c r="O10" t="str">
        <f>$I$11</f>
        <v>GFA provided per EFTS</v>
      </c>
    </row>
    <row r="11" spans="1:15" s="3" customFormat="1" ht="18" customHeight="1">
      <c r="A11" s="129" t="s">
        <v>1</v>
      </c>
      <c r="B11" s="130" t="s">
        <v>2</v>
      </c>
      <c r="C11" s="131" t="s">
        <v>3</v>
      </c>
      <c r="D11" s="131" t="s">
        <v>18</v>
      </c>
      <c r="E11" s="132" t="s">
        <v>16</v>
      </c>
      <c r="F11" s="131" t="s">
        <v>4</v>
      </c>
      <c r="G11" s="133" t="s">
        <v>5</v>
      </c>
      <c r="H11" s="131" t="s">
        <v>6</v>
      </c>
      <c r="I11" s="127" t="s">
        <v>7</v>
      </c>
      <c r="J11" s="132" t="s">
        <v>117</v>
      </c>
      <c r="K11" s="132" t="s">
        <v>116</v>
      </c>
      <c r="L11" s="132" t="s">
        <v>117</v>
      </c>
      <c r="M11" s="132" t="s">
        <v>116</v>
      </c>
      <c r="N11" s="132" t="s">
        <v>117</v>
      </c>
      <c r="O11" s="132" t="s">
        <v>116</v>
      </c>
    </row>
    <row r="12" spans="1:15" s="3" customFormat="1" ht="18" customHeight="1">
      <c r="A12" s="129"/>
      <c r="B12" s="130"/>
      <c r="C12" s="131"/>
      <c r="D12" s="131"/>
      <c r="E12" s="132"/>
      <c r="F12" s="131"/>
      <c r="G12" s="133"/>
      <c r="H12" s="131"/>
      <c r="I12" s="127"/>
      <c r="J12" s="132"/>
      <c r="K12" s="132"/>
      <c r="L12" s="132"/>
      <c r="M12" s="132"/>
      <c r="N12" s="132"/>
      <c r="O12" s="132"/>
    </row>
    <row r="13" spans="1:15" s="3" customFormat="1" ht="18" customHeight="1">
      <c r="A13" s="129"/>
      <c r="B13" s="130"/>
      <c r="C13" s="131"/>
      <c r="D13" s="131"/>
      <c r="E13" s="132"/>
      <c r="F13" s="131"/>
      <c r="G13" s="133"/>
      <c r="H13" s="131"/>
      <c r="I13" s="127"/>
      <c r="J13" s="132"/>
      <c r="K13" s="132"/>
      <c r="L13" s="132"/>
      <c r="M13" s="132"/>
      <c r="N13" s="132"/>
      <c r="O13" s="132"/>
    </row>
    <row r="14" spans="1:15" s="1" customFormat="1" ht="18" customHeight="1" thickBot="1">
      <c r="A14" s="19"/>
      <c r="B14" s="20"/>
      <c r="C14" s="20" t="s">
        <v>8</v>
      </c>
      <c r="D14" s="20" t="s">
        <v>17</v>
      </c>
      <c r="E14" s="21" t="s">
        <v>9</v>
      </c>
      <c r="F14" s="20" t="s">
        <v>10</v>
      </c>
      <c r="G14" s="21" t="s">
        <v>11</v>
      </c>
      <c r="H14" s="20" t="s">
        <v>12</v>
      </c>
      <c r="I14" s="22" t="s">
        <v>13</v>
      </c>
    </row>
    <row r="15" spans="1:15" ht="18" customHeight="1">
      <c r="A15" s="15"/>
      <c r="B15" s="16"/>
      <c r="C15" s="16"/>
      <c r="D15" s="16"/>
      <c r="E15" s="17"/>
      <c r="F15" s="16"/>
      <c r="G15" s="17"/>
      <c r="H15" s="16"/>
      <c r="I15" s="18"/>
    </row>
    <row r="16" spans="1:15" s="6" customFormat="1" ht="27" customHeight="1">
      <c r="A16" s="23" t="s">
        <v>112</v>
      </c>
      <c r="B16" s="24" t="s">
        <v>104</v>
      </c>
      <c r="C16" s="25">
        <v>780667</v>
      </c>
      <c r="D16" s="25">
        <v>484149</v>
      </c>
      <c r="E16" s="62">
        <f>D16/C16</f>
        <v>0.62017351828628597</v>
      </c>
      <c r="F16" s="26">
        <v>9553737131</v>
      </c>
      <c r="G16" s="36">
        <f>F16/C16</f>
        <v>12237.915950078586</v>
      </c>
      <c r="H16" s="88">
        <v>23750</v>
      </c>
      <c r="I16" s="37">
        <f>C16/H16</f>
        <v>32.870189473684214</v>
      </c>
      <c r="J16" s="101">
        <f>$E$20</f>
        <v>0.62017351828628597</v>
      </c>
      <c r="K16" s="101">
        <f>$E$21</f>
        <v>0.62017351828628597</v>
      </c>
      <c r="L16" s="102">
        <f>$G$20</f>
        <v>13824.365980670418</v>
      </c>
      <c r="M16" s="102">
        <f>$G$21</f>
        <v>14009.340621574593</v>
      </c>
      <c r="N16" s="103">
        <f>$I$20</f>
        <v>17.405761803480107</v>
      </c>
      <c r="O16" s="103">
        <f>$I$21</f>
        <v>18.624733907754688</v>
      </c>
    </row>
    <row r="17" spans="1:15" s="6" customFormat="1" ht="27" customHeight="1">
      <c r="A17" s="23" t="s">
        <v>114</v>
      </c>
      <c r="B17" s="24" t="s">
        <v>104</v>
      </c>
      <c r="C17" s="25">
        <v>734932</v>
      </c>
      <c r="D17" s="25">
        <v>483933</v>
      </c>
      <c r="E17" s="34">
        <f>D17/C17</f>
        <v>0.65847316486423235</v>
      </c>
      <c r="F17" s="26">
        <v>11189958050</v>
      </c>
      <c r="G17" s="36">
        <f>F17/C17</f>
        <v>15225.841370358074</v>
      </c>
      <c r="H17" s="25">
        <v>39460</v>
      </c>
      <c r="I17" s="37">
        <f>C17/H17</f>
        <v>18.624733907754688</v>
      </c>
      <c r="J17" s="101">
        <f t="shared" ref="J17:J18" si="0">$E$20</f>
        <v>0.62017351828628597</v>
      </c>
      <c r="K17" s="101">
        <f t="shared" ref="K17:K18" si="1">$E$21</f>
        <v>0.62017351828628597</v>
      </c>
      <c r="L17" s="102">
        <f t="shared" ref="L17:L18" si="2">$G$20</f>
        <v>13824.365980670418</v>
      </c>
      <c r="M17" s="102">
        <f t="shared" ref="M17:M18" si="3">$G$21</f>
        <v>14009.340621574593</v>
      </c>
      <c r="N17" s="103">
        <f t="shared" ref="N17:N18" si="4">$I$20</f>
        <v>17.405761803480107</v>
      </c>
      <c r="O17" s="103">
        <f t="shared" ref="O17:O18" si="5">$I$21</f>
        <v>18.624733907754688</v>
      </c>
    </row>
    <row r="18" spans="1:15" s="6" customFormat="1" ht="27" customHeight="1">
      <c r="A18" s="23" t="s">
        <v>115</v>
      </c>
      <c r="B18" s="24" t="s">
        <v>104</v>
      </c>
      <c r="C18" s="25">
        <v>552854</v>
      </c>
      <c r="D18" s="25">
        <v>312373</v>
      </c>
      <c r="E18" s="34">
        <f>D18/C18</f>
        <v>0.56501897426807079</v>
      </c>
      <c r="F18" s="26">
        <v>7745120000</v>
      </c>
      <c r="G18" s="36">
        <f>F18/C18</f>
        <v>14009.340621574593</v>
      </c>
      <c r="H18" s="25">
        <v>765342</v>
      </c>
      <c r="I18" s="37">
        <f>C18/H18</f>
        <v>0.72236202900141377</v>
      </c>
      <c r="J18" s="101">
        <f t="shared" si="0"/>
        <v>0.62017351828628597</v>
      </c>
      <c r="K18" s="101">
        <f t="shared" si="1"/>
        <v>0.62017351828628597</v>
      </c>
      <c r="L18" s="102">
        <f t="shared" si="2"/>
        <v>13824.365980670418</v>
      </c>
      <c r="M18" s="102">
        <f t="shared" si="3"/>
        <v>14009.340621574593</v>
      </c>
      <c r="N18" s="103">
        <f t="shared" si="4"/>
        <v>17.405761803480107</v>
      </c>
      <c r="O18" s="103">
        <f t="shared" si="5"/>
        <v>18.624733907754688</v>
      </c>
    </row>
    <row r="19" spans="1:15" ht="18" customHeight="1">
      <c r="A19" s="13"/>
      <c r="B19" s="9"/>
      <c r="C19" s="10"/>
      <c r="D19" s="10"/>
      <c r="E19" s="34"/>
      <c r="F19" s="11"/>
      <c r="G19" s="36"/>
      <c r="H19" s="86"/>
      <c r="I19" s="37"/>
    </row>
    <row r="20" spans="1:15" ht="18" customHeight="1">
      <c r="A20" s="94" t="s">
        <v>117</v>
      </c>
      <c r="B20" s="95"/>
      <c r="C20" s="95">
        <f t="shared" ref="C20:I20" si="6">AVERAGE(C16:C19)</f>
        <v>689484.33333333337</v>
      </c>
      <c r="D20" s="95">
        <f t="shared" si="6"/>
        <v>426818.33333333331</v>
      </c>
      <c r="E20" s="100">
        <f t="shared" ref="C20:I21" si="7">MEDIAN(E15:E18)</f>
        <v>0.62017351828628597</v>
      </c>
      <c r="F20" s="95">
        <f t="shared" si="6"/>
        <v>9496271727</v>
      </c>
      <c r="G20" s="95">
        <f t="shared" si="6"/>
        <v>13824.365980670418</v>
      </c>
      <c r="H20" s="95">
        <f t="shared" si="6"/>
        <v>276184</v>
      </c>
      <c r="I20" s="104">
        <f t="shared" si="6"/>
        <v>17.405761803480107</v>
      </c>
    </row>
    <row r="21" spans="1:15" ht="18" customHeight="1">
      <c r="A21" s="96" t="s">
        <v>116</v>
      </c>
      <c r="B21" s="97"/>
      <c r="C21" s="97">
        <f t="shared" si="7"/>
        <v>734932</v>
      </c>
      <c r="D21" s="97">
        <f t="shared" si="7"/>
        <v>483933</v>
      </c>
      <c r="E21" s="34">
        <f t="shared" si="7"/>
        <v>0.62017351828628597</v>
      </c>
      <c r="F21" s="97">
        <f t="shared" si="7"/>
        <v>9553737131</v>
      </c>
      <c r="G21" s="97">
        <f t="shared" si="7"/>
        <v>14009.340621574593</v>
      </c>
      <c r="H21" s="97">
        <f t="shared" si="7"/>
        <v>39460</v>
      </c>
      <c r="I21" s="105">
        <f t="shared" si="7"/>
        <v>18.624733907754688</v>
      </c>
    </row>
    <row r="22" spans="1:15" ht="27" customHeight="1" thickBot="1">
      <c r="A22" s="27" t="s">
        <v>103</v>
      </c>
      <c r="B22" s="28"/>
      <c r="C22" s="29">
        <f>3353671/7</f>
        <v>479095.85714285716</v>
      </c>
      <c r="D22" s="29">
        <f>2136256/7</f>
        <v>305179.42857142858</v>
      </c>
      <c r="E22" s="35">
        <f>D22/C22</f>
        <v>0.63699033089411572</v>
      </c>
      <c r="F22" s="30">
        <f>33846353686/7</f>
        <v>4835193383.7142859</v>
      </c>
      <c r="G22" s="36">
        <f>F22/C22</f>
        <v>10092.329774148984</v>
      </c>
      <c r="H22" s="29">
        <f>148344/7</f>
        <v>21192</v>
      </c>
      <c r="I22" s="38">
        <f>C22/H22</f>
        <v>22.607392277409264</v>
      </c>
    </row>
  </sheetData>
  <protectedRanges>
    <protectedRange sqref="H16" name="Range3"/>
    <protectedRange sqref="F16" name="Range2"/>
    <protectedRange sqref="A16:D16" name="Range1"/>
    <protectedRange sqref="H17" name="Range3_1"/>
    <protectedRange sqref="F17" name="Range2_1"/>
    <protectedRange sqref="A17:D17" name="Range1_1"/>
    <protectedRange sqref="H18" name="Range3_2"/>
    <protectedRange sqref="F18" name="Range2_2"/>
    <protectedRange sqref="A18:D18" name="Range1_2"/>
  </protectedRanges>
  <mergeCells count="26">
    <mergeCell ref="O11:O13"/>
    <mergeCell ref="J11:J13"/>
    <mergeCell ref="K11:K13"/>
    <mergeCell ref="L11:L13"/>
    <mergeCell ref="M11:M13"/>
    <mergeCell ref="N11:N13"/>
    <mergeCell ref="A1:I1"/>
    <mergeCell ref="A3:A7"/>
    <mergeCell ref="B3:B7"/>
    <mergeCell ref="C3:C7"/>
    <mergeCell ref="D3:D7"/>
    <mergeCell ref="E3:E7"/>
    <mergeCell ref="F3:F7"/>
    <mergeCell ref="G3:G7"/>
    <mergeCell ref="H3:H7"/>
    <mergeCell ref="I11:I13"/>
    <mergeCell ref="I3:I7"/>
    <mergeCell ref="A9:I9"/>
    <mergeCell ref="A11:A13"/>
    <mergeCell ref="B11:B13"/>
    <mergeCell ref="C11:C13"/>
    <mergeCell ref="D11:D13"/>
    <mergeCell ref="E11:E13"/>
    <mergeCell ref="F11:F13"/>
    <mergeCell ref="G11:G13"/>
    <mergeCell ref="H11:H13"/>
  </mergeCells>
  <phoneticPr fontId="3" type="noConversion"/>
  <pageMargins left="0.75" right="0.75" top="1" bottom="1" header="0.5" footer="0.5"/>
  <pageSetup paperSize="9" orientation="landscape" horizontalDpi="4294967293" verticalDpi="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22"/>
  <sheetViews>
    <sheetView topLeftCell="G8" workbookViewId="0">
      <selection activeCell="K16" sqref="K16:L18"/>
    </sheetView>
  </sheetViews>
  <sheetFormatPr baseColWidth="10" defaultColWidth="14.6640625" defaultRowHeight="18" customHeight="1"/>
  <sheetData>
    <row r="1" spans="1:22" ht="18" customHeight="1">
      <c r="B1" s="119">
        <f>+'General Statistical Data'!A1:I1</f>
        <v>0</v>
      </c>
      <c r="C1" s="119"/>
      <c r="D1" s="119"/>
      <c r="E1" s="119"/>
      <c r="F1" s="119"/>
      <c r="G1" s="119"/>
      <c r="H1" s="119"/>
      <c r="I1" s="119"/>
      <c r="J1" s="119"/>
    </row>
    <row r="2" spans="1:22" ht="9" customHeight="1"/>
    <row r="3" spans="1:22" ht="22.5" customHeight="1">
      <c r="B3" s="128" t="s">
        <v>66</v>
      </c>
      <c r="C3" s="128" t="s">
        <v>67</v>
      </c>
      <c r="D3" s="128" t="s">
        <v>19</v>
      </c>
      <c r="E3" s="128" t="s">
        <v>91</v>
      </c>
      <c r="F3" s="128" t="s">
        <v>69</v>
      </c>
      <c r="G3" s="128" t="s">
        <v>19</v>
      </c>
      <c r="H3" s="128" t="s">
        <v>70</v>
      </c>
      <c r="I3" s="128" t="s">
        <v>19</v>
      </c>
      <c r="J3" s="128" t="s">
        <v>19</v>
      </c>
      <c r="K3" s="53"/>
      <c r="L3" s="53"/>
      <c r="M3" s="53"/>
      <c r="N3" s="53"/>
      <c r="O3" s="53"/>
      <c r="P3" s="53"/>
      <c r="Q3" s="53"/>
      <c r="R3" s="53"/>
      <c r="S3" s="53"/>
      <c r="T3" s="53"/>
      <c r="U3" s="53"/>
      <c r="V3" s="53"/>
    </row>
    <row r="4" spans="1:22" ht="18" customHeight="1">
      <c r="B4" s="134"/>
      <c r="C4" s="128"/>
      <c r="D4" s="128"/>
      <c r="E4" s="128"/>
      <c r="F4" s="128"/>
      <c r="G4" s="128"/>
      <c r="H4" s="128"/>
      <c r="I4" s="128"/>
      <c r="J4" s="128"/>
      <c r="K4" s="53"/>
      <c r="L4" s="53"/>
      <c r="M4" s="53"/>
      <c r="N4" s="53"/>
      <c r="O4" s="53"/>
      <c r="P4" s="53"/>
      <c r="Q4" s="53"/>
      <c r="R4" s="53"/>
      <c r="S4" s="53"/>
      <c r="T4" s="53"/>
      <c r="U4" s="53"/>
      <c r="V4" s="53"/>
    </row>
    <row r="5" spans="1:22" ht="18" customHeight="1">
      <c r="B5" s="134"/>
      <c r="C5" s="128"/>
      <c r="D5" s="128"/>
      <c r="E5" s="128"/>
      <c r="F5" s="128"/>
      <c r="G5" s="128"/>
      <c r="H5" s="128"/>
      <c r="I5" s="128"/>
      <c r="J5" s="128"/>
      <c r="K5" s="53"/>
      <c r="L5" s="53"/>
      <c r="M5" s="53"/>
      <c r="N5" s="53"/>
      <c r="O5" s="53"/>
      <c r="P5" s="53"/>
      <c r="Q5" s="53"/>
      <c r="R5" s="53"/>
      <c r="S5" s="53"/>
      <c r="T5" s="53"/>
      <c r="U5" s="53"/>
      <c r="V5" s="53"/>
    </row>
    <row r="6" spans="1:22" ht="18" customHeight="1">
      <c r="B6" s="134"/>
      <c r="C6" s="128"/>
      <c r="D6" s="128"/>
      <c r="E6" s="128"/>
      <c r="F6" s="128"/>
      <c r="G6" s="128"/>
      <c r="H6" s="128"/>
      <c r="I6" s="128"/>
      <c r="J6" s="128"/>
      <c r="K6" s="53"/>
      <c r="L6" s="53"/>
      <c r="M6" s="53"/>
      <c r="N6" s="53"/>
      <c r="O6" s="53"/>
      <c r="P6" s="53"/>
      <c r="Q6" s="53"/>
      <c r="R6" s="53"/>
      <c r="S6" s="53"/>
      <c r="T6" s="53"/>
      <c r="U6" s="53"/>
      <c r="V6" s="53"/>
    </row>
    <row r="7" spans="1:22" ht="128.25" customHeight="1">
      <c r="B7" s="134"/>
      <c r="C7" s="128"/>
      <c r="D7" s="128"/>
      <c r="E7" s="128"/>
      <c r="F7" s="128"/>
      <c r="G7" s="128"/>
      <c r="H7" s="128"/>
      <c r="I7" s="128"/>
      <c r="J7" s="128"/>
      <c r="K7" s="53"/>
      <c r="L7" s="53"/>
      <c r="M7" s="53"/>
      <c r="N7" s="53"/>
      <c r="O7" s="53"/>
      <c r="P7" s="53"/>
      <c r="Q7" s="53"/>
      <c r="R7" s="53"/>
      <c r="S7" s="53"/>
      <c r="T7" s="53"/>
      <c r="U7" s="53"/>
      <c r="V7" s="53"/>
    </row>
    <row r="8" spans="1:22" ht="18" customHeight="1" thickBot="1">
      <c r="B8" s="2"/>
      <c r="C8" s="2"/>
      <c r="D8" s="2"/>
      <c r="E8" s="2"/>
      <c r="F8" s="2"/>
      <c r="G8" s="2"/>
      <c r="H8" s="2"/>
      <c r="I8" s="2"/>
      <c r="J8" s="2"/>
    </row>
    <row r="9" spans="1:22" ht="18" customHeight="1">
      <c r="B9" s="121" t="s">
        <v>21</v>
      </c>
      <c r="C9" s="122"/>
      <c r="D9" s="122"/>
      <c r="E9" s="122"/>
      <c r="F9" s="122"/>
      <c r="G9" s="122"/>
      <c r="H9" s="122"/>
      <c r="I9" s="122"/>
      <c r="J9" s="122"/>
    </row>
    <row r="10" spans="1:22" ht="18" customHeight="1">
      <c r="B10" s="5">
        <v>10</v>
      </c>
      <c r="C10" s="4">
        <v>11</v>
      </c>
      <c r="D10" s="7">
        <v>12</v>
      </c>
      <c r="E10" s="4">
        <v>13</v>
      </c>
      <c r="F10" s="4">
        <v>14</v>
      </c>
      <c r="G10" s="7">
        <v>15</v>
      </c>
      <c r="H10" s="4">
        <v>16</v>
      </c>
      <c r="I10" s="7">
        <v>17</v>
      </c>
      <c r="J10" s="7">
        <v>18</v>
      </c>
      <c r="K10" t="str">
        <f>$I$11</f>
        <v>Cost of Maintenance per m2 GFA</v>
      </c>
      <c r="L10" t="str">
        <f>$I$11</f>
        <v>Cost of Maintenance per m2 GFA</v>
      </c>
      <c r="M10" t="str">
        <f>$G$11</f>
        <v>Total Maintenance Expenditure</v>
      </c>
      <c r="N10" t="str">
        <f>$G$11</f>
        <v>Total Maintenance Expenditure</v>
      </c>
    </row>
    <row r="11" spans="1:22" s="3" customFormat="1" ht="18" customHeight="1">
      <c r="B11" s="129" t="s">
        <v>41</v>
      </c>
      <c r="C11" s="135" t="s">
        <v>22</v>
      </c>
      <c r="D11" s="133" t="s">
        <v>23</v>
      </c>
      <c r="E11" s="131" t="s">
        <v>24</v>
      </c>
      <c r="F11" s="135" t="s">
        <v>68</v>
      </c>
      <c r="G11" s="138" t="s">
        <v>25</v>
      </c>
      <c r="H11" s="131" t="s">
        <v>26</v>
      </c>
      <c r="I11" s="133" t="s">
        <v>27</v>
      </c>
      <c r="J11" s="133" t="s">
        <v>28</v>
      </c>
      <c r="K11" s="132" t="s">
        <v>117</v>
      </c>
      <c r="L11" s="132" t="s">
        <v>116</v>
      </c>
      <c r="M11" s="132" t="s">
        <v>117</v>
      </c>
      <c r="N11" s="132" t="s">
        <v>116</v>
      </c>
    </row>
    <row r="12" spans="1:22" s="3" customFormat="1" ht="18" customHeight="1">
      <c r="B12" s="129"/>
      <c r="C12" s="136"/>
      <c r="D12" s="133"/>
      <c r="E12" s="131"/>
      <c r="F12" s="136"/>
      <c r="G12" s="139"/>
      <c r="H12" s="131"/>
      <c r="I12" s="133"/>
      <c r="J12" s="133"/>
      <c r="K12" s="132"/>
      <c r="L12" s="132"/>
      <c r="M12" s="132"/>
      <c r="N12" s="132"/>
    </row>
    <row r="13" spans="1:22" s="3" customFormat="1" ht="18" customHeight="1">
      <c r="B13" s="129"/>
      <c r="C13" s="137"/>
      <c r="D13" s="133"/>
      <c r="E13" s="131"/>
      <c r="F13" s="137"/>
      <c r="G13" s="140"/>
      <c r="H13" s="131"/>
      <c r="I13" s="133"/>
      <c r="J13" s="133"/>
      <c r="K13" s="132"/>
      <c r="L13" s="132"/>
      <c r="M13" s="132"/>
      <c r="N13" s="132"/>
    </row>
    <row r="14" spans="1:22" s="1" customFormat="1" ht="18" customHeight="1" thickBot="1">
      <c r="B14" s="19" t="s">
        <v>10</v>
      </c>
      <c r="C14" s="20" t="s">
        <v>10</v>
      </c>
      <c r="D14" s="21" t="s">
        <v>10</v>
      </c>
      <c r="E14" s="20" t="s">
        <v>10</v>
      </c>
      <c r="F14" s="20" t="s">
        <v>10</v>
      </c>
      <c r="G14" s="21" t="s">
        <v>10</v>
      </c>
      <c r="H14" s="45" t="s">
        <v>8</v>
      </c>
      <c r="I14" s="21" t="s">
        <v>11</v>
      </c>
      <c r="J14" s="21" t="s">
        <v>29</v>
      </c>
    </row>
    <row r="15" spans="1:22" ht="18" customHeight="1">
      <c r="B15" s="15"/>
      <c r="C15" s="16"/>
      <c r="D15" s="17"/>
      <c r="E15" s="16"/>
      <c r="F15" s="16"/>
      <c r="G15" s="17"/>
      <c r="H15" s="16"/>
      <c r="I15" s="17"/>
      <c r="J15" s="17"/>
    </row>
    <row r="16" spans="1:22" s="6" customFormat="1" ht="27" customHeight="1">
      <c r="A16" s="23" t="s">
        <v>112</v>
      </c>
      <c r="B16" s="98">
        <f>13468651.01</f>
        <v>13468651.01</v>
      </c>
      <c r="C16" s="41">
        <f>4505114.1-642960</f>
        <v>3862154.0999999996</v>
      </c>
      <c r="D16" s="39">
        <f>SUM(B16:C16)</f>
        <v>17330805.109999999</v>
      </c>
      <c r="E16" s="26">
        <v>111236888.94</v>
      </c>
      <c r="F16" s="26">
        <v>0</v>
      </c>
      <c r="G16" s="36">
        <f>SUM(D16:F16)</f>
        <v>128567694.05</v>
      </c>
      <c r="H16" s="25">
        <f>0.99*'General Statistical Data'!C16</f>
        <v>772860.33</v>
      </c>
      <c r="I16" s="36">
        <f>G16/H16</f>
        <v>166.35307708185772</v>
      </c>
      <c r="J16" s="36">
        <f>G16/'General Statistical Data'!H16</f>
        <v>5413.3765915789472</v>
      </c>
      <c r="K16" s="102">
        <f>$I$20</f>
        <v>201.50619742616786</v>
      </c>
      <c r="L16" s="102">
        <f>$I$21</f>
        <v>166.35307708185772</v>
      </c>
      <c r="M16" s="102">
        <f>$J$20</f>
        <v>2676.4254480844152</v>
      </c>
      <c r="N16" s="102">
        <f>$J$21</f>
        <v>2491.6664216928534</v>
      </c>
    </row>
    <row r="17" spans="1:22" s="87" customFormat="1" ht="27" customHeight="1">
      <c r="A17" s="23" t="s">
        <v>114</v>
      </c>
      <c r="B17" s="98">
        <v>14052040</v>
      </c>
      <c r="C17" s="41"/>
      <c r="D17" s="39">
        <f>SUM(B17:C17)</f>
        <v>14052040</v>
      </c>
      <c r="E17" s="26">
        <v>66269117</v>
      </c>
      <c r="F17" s="26">
        <v>18000000</v>
      </c>
      <c r="G17" s="36">
        <f>SUM(D17:F17)</f>
        <v>98321157</v>
      </c>
      <c r="H17" s="25">
        <v>734932</v>
      </c>
      <c r="I17" s="36">
        <f>G17/H17</f>
        <v>133.78265880380769</v>
      </c>
      <c r="J17" s="36">
        <f>G17/'General Statistical Data'!H17</f>
        <v>2491.6664216928534</v>
      </c>
      <c r="K17" s="102">
        <f t="shared" ref="K17:K18" si="0">$I$20</f>
        <v>201.50619742616786</v>
      </c>
      <c r="L17" s="102">
        <f t="shared" ref="L17:L18" si="1">$I$21</f>
        <v>166.35307708185772</v>
      </c>
      <c r="M17" s="102">
        <f t="shared" ref="M17:M18" si="2">$J$20</f>
        <v>2676.4254480844152</v>
      </c>
      <c r="N17" s="102">
        <f t="shared" ref="N17:N18" si="3">$J$21</f>
        <v>2491.6664216928534</v>
      </c>
      <c r="O17" s="6"/>
      <c r="P17" s="6"/>
      <c r="Q17" s="6"/>
      <c r="R17" s="6"/>
      <c r="S17" s="6"/>
      <c r="T17" s="6"/>
      <c r="U17" s="6"/>
      <c r="V17" s="6"/>
    </row>
    <row r="18" spans="1:22" s="87" customFormat="1" ht="27" customHeight="1">
      <c r="A18" s="23" t="s">
        <v>115</v>
      </c>
      <c r="B18" s="99">
        <v>27904443</v>
      </c>
      <c r="C18" s="90">
        <v>0</v>
      </c>
      <c r="D18" s="91">
        <f>SUM(B18:C18)</f>
        <v>27904443</v>
      </c>
      <c r="E18" s="90">
        <v>56179991</v>
      </c>
      <c r="F18" s="90">
        <v>10996552</v>
      </c>
      <c r="G18" s="92">
        <f>SUM(D18:F18)</f>
        <v>95080986</v>
      </c>
      <c r="H18" s="93">
        <v>312373</v>
      </c>
      <c r="I18" s="92">
        <f>G18/H18</f>
        <v>304.38285639283805</v>
      </c>
      <c r="J18" s="36">
        <f>G18/'General Statistical Data'!H18</f>
        <v>124.23333098144359</v>
      </c>
      <c r="K18" s="102">
        <f t="shared" si="0"/>
        <v>201.50619742616786</v>
      </c>
      <c r="L18" s="102">
        <f t="shared" si="1"/>
        <v>166.35307708185772</v>
      </c>
      <c r="M18" s="102">
        <f t="shared" si="2"/>
        <v>2676.4254480844152</v>
      </c>
      <c r="N18" s="102">
        <f t="shared" si="3"/>
        <v>2491.6664216928534</v>
      </c>
      <c r="O18" s="6"/>
      <c r="P18" s="6"/>
      <c r="Q18" s="6"/>
      <c r="R18" s="6"/>
      <c r="S18" s="6"/>
      <c r="T18" s="6"/>
      <c r="U18" s="6"/>
      <c r="V18" s="6"/>
    </row>
    <row r="19" spans="1:22" ht="18" customHeight="1">
      <c r="B19" s="13"/>
      <c r="C19" s="9"/>
      <c r="D19" s="39"/>
      <c r="E19" s="10"/>
      <c r="F19" s="10"/>
      <c r="G19" s="36"/>
      <c r="H19" s="11"/>
      <c r="I19" s="36"/>
      <c r="J19" s="36"/>
    </row>
    <row r="20" spans="1:22" ht="18" customHeight="1">
      <c r="A20" s="94" t="s">
        <v>117</v>
      </c>
      <c r="B20" s="95">
        <f t="shared" ref="B20:J20" si="4">AVERAGE(B16:B19)</f>
        <v>18475044.669999998</v>
      </c>
      <c r="C20" s="95">
        <f t="shared" si="4"/>
        <v>1931077.0499999998</v>
      </c>
      <c r="D20" s="95">
        <f t="shared" si="4"/>
        <v>19762429.370000001</v>
      </c>
      <c r="E20" s="95">
        <f t="shared" si="4"/>
        <v>77895332.313333333</v>
      </c>
      <c r="F20" s="95">
        <f t="shared" si="4"/>
        <v>9665517.333333334</v>
      </c>
      <c r="G20" s="95">
        <f t="shared" si="4"/>
        <v>107323279.01666667</v>
      </c>
      <c r="H20" s="95">
        <f t="shared" si="4"/>
        <v>606721.77666666673</v>
      </c>
      <c r="I20" s="95">
        <f t="shared" si="4"/>
        <v>201.50619742616786</v>
      </c>
      <c r="J20" s="95">
        <f t="shared" si="4"/>
        <v>2676.4254480844152</v>
      </c>
    </row>
    <row r="21" spans="1:22" ht="18" customHeight="1">
      <c r="A21" s="96" t="s">
        <v>116</v>
      </c>
      <c r="B21" s="97">
        <f t="shared" ref="B21" si="5">MEDIAN(B16:B19)</f>
        <v>14052040</v>
      </c>
      <c r="C21" s="97">
        <f t="shared" ref="C21:J21" si="6">MEDIAN(C16:C19)</f>
        <v>1931077.0499999998</v>
      </c>
      <c r="D21" s="97">
        <f t="shared" si="6"/>
        <v>17330805.109999999</v>
      </c>
      <c r="E21" s="97">
        <f t="shared" si="6"/>
        <v>66269117</v>
      </c>
      <c r="F21" s="97">
        <f t="shared" si="6"/>
        <v>10996552</v>
      </c>
      <c r="G21" s="97">
        <f t="shared" si="6"/>
        <v>98321157</v>
      </c>
      <c r="H21" s="97">
        <f t="shared" si="6"/>
        <v>734932</v>
      </c>
      <c r="I21" s="97">
        <f t="shared" si="6"/>
        <v>166.35307708185772</v>
      </c>
      <c r="J21" s="97">
        <f t="shared" si="6"/>
        <v>2491.6664216928534</v>
      </c>
    </row>
    <row r="22" spans="1:22" ht="27" customHeight="1" thickBot="1">
      <c r="B22" s="42">
        <f>28476279/7</f>
        <v>4068039.8571428573</v>
      </c>
      <c r="C22" s="43">
        <f>35735071/7</f>
        <v>5105010.1428571427</v>
      </c>
      <c r="D22" s="60">
        <f>SUM(B22:C22)</f>
        <v>9173050</v>
      </c>
      <c r="E22" s="30">
        <f>109833862/7</f>
        <v>15690551.714285715</v>
      </c>
      <c r="F22" s="30">
        <f>62450726/7</f>
        <v>8921532.2857142854</v>
      </c>
      <c r="G22" s="61">
        <f>SUM(D22:F22)</f>
        <v>33785134</v>
      </c>
      <c r="H22" s="89">
        <f>2787901/7</f>
        <v>398271.57142857142</v>
      </c>
      <c r="I22" s="61">
        <f>G22/H22</f>
        <v>84.829388848456247</v>
      </c>
      <c r="J22" s="61">
        <f>G22/'General Statistical Data'!H22</f>
        <v>1594.2399962249906</v>
      </c>
    </row>
  </sheetData>
  <protectedRanges>
    <protectedRange sqref="H16" name="Range3"/>
    <protectedRange sqref="E16:F16" name="Range2"/>
    <protectedRange sqref="B16:C16" name="Range1"/>
    <protectedRange sqref="H17" name="Range3_1"/>
    <protectedRange sqref="E17:F17" name="Range2_1"/>
    <protectedRange sqref="B17:C17" name="Range1_1"/>
    <protectedRange sqref="H18" name="Range3_2"/>
    <protectedRange sqref="E18:F18" name="Range2_2"/>
    <protectedRange sqref="B18:C18" name="Range1_2"/>
    <protectedRange sqref="A16" name="Range1_3"/>
    <protectedRange sqref="A17" name="Range1_1_1"/>
    <protectedRange sqref="A18" name="Range1_2_1"/>
  </protectedRanges>
  <mergeCells count="24">
    <mergeCell ref="K11:K13"/>
    <mergeCell ref="L11:L13"/>
    <mergeCell ref="M11:M13"/>
    <mergeCell ref="N11:N13"/>
    <mergeCell ref="B1:J1"/>
    <mergeCell ref="B3:B7"/>
    <mergeCell ref="C3:C7"/>
    <mergeCell ref="D3:D7"/>
    <mergeCell ref="E3:E7"/>
    <mergeCell ref="G3:G7"/>
    <mergeCell ref="H3:H7"/>
    <mergeCell ref="I3:I7"/>
    <mergeCell ref="J3:J7"/>
    <mergeCell ref="F3:F7"/>
    <mergeCell ref="B9:J9"/>
    <mergeCell ref="B11:B13"/>
    <mergeCell ref="I11:I13"/>
    <mergeCell ref="J11:J13"/>
    <mergeCell ref="F11:F13"/>
    <mergeCell ref="C11:C13"/>
    <mergeCell ref="D11:D13"/>
    <mergeCell ref="E11:E13"/>
    <mergeCell ref="G11:G13"/>
    <mergeCell ref="H11:H13"/>
  </mergeCells>
  <phoneticPr fontId="3" type="noConversion"/>
  <pageMargins left="0.75" right="0.75" top="1" bottom="1" header="0.5" footer="0.5"/>
  <pageSetup paperSize="9" orientation="landscape" horizontalDpi="4294967293" verticalDpi="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21"/>
  <sheetViews>
    <sheetView topLeftCell="K7" zoomScale="70" zoomScaleNormal="70" workbookViewId="0">
      <selection activeCell="L7" sqref="L1:Y1048576"/>
    </sheetView>
  </sheetViews>
  <sheetFormatPr baseColWidth="10" defaultColWidth="14.6640625" defaultRowHeight="18" customHeight="1"/>
  <cols>
    <col min="2" max="2" width="14.6640625" customWidth="1"/>
    <col min="3" max="3" width="12.5" customWidth="1"/>
    <col min="4" max="4" width="12.1640625" customWidth="1"/>
    <col min="5" max="5" width="11.83203125" customWidth="1"/>
    <col min="6" max="6" width="13.6640625" customWidth="1"/>
    <col min="7" max="8" width="12.5" customWidth="1"/>
    <col min="9" max="9" width="12.6640625" customWidth="1"/>
    <col min="10" max="10" width="11" customWidth="1"/>
    <col min="11" max="11" width="11.1640625" customWidth="1"/>
  </cols>
  <sheetData>
    <row r="1" spans="1:25" ht="18" customHeight="1">
      <c r="B1" s="119">
        <f>+'General Statistical Data'!A1:I1</f>
        <v>0</v>
      </c>
      <c r="C1" s="119"/>
      <c r="D1" s="119"/>
      <c r="E1" s="119"/>
      <c r="F1" s="119"/>
      <c r="G1" s="119"/>
      <c r="H1" s="119"/>
      <c r="I1" s="119"/>
      <c r="J1" s="119"/>
      <c r="K1" s="63"/>
    </row>
    <row r="2" spans="1:25" ht="10.5" customHeight="1"/>
    <row r="3" spans="1:25" s="54" customFormat="1" ht="18" customHeight="1">
      <c r="B3" s="128" t="s">
        <v>71</v>
      </c>
      <c r="C3" s="128" t="s">
        <v>75</v>
      </c>
      <c r="D3" s="128" t="s">
        <v>76</v>
      </c>
      <c r="E3" s="128" t="s">
        <v>92</v>
      </c>
      <c r="F3" s="128" t="s">
        <v>93</v>
      </c>
      <c r="G3" s="128" t="s">
        <v>19</v>
      </c>
      <c r="H3" s="128" t="s">
        <v>70</v>
      </c>
      <c r="I3" s="128" t="s">
        <v>19</v>
      </c>
      <c r="J3" s="128" t="s">
        <v>19</v>
      </c>
      <c r="K3" s="128" t="s">
        <v>19</v>
      </c>
      <c r="L3" s="53"/>
      <c r="M3" s="53"/>
      <c r="N3" s="53"/>
      <c r="O3" s="53"/>
      <c r="P3" s="53"/>
      <c r="Q3" s="53"/>
      <c r="R3" s="53"/>
      <c r="S3" s="53"/>
      <c r="T3" s="53"/>
      <c r="U3" s="53"/>
      <c r="V3" s="53"/>
      <c r="W3" s="53"/>
      <c r="X3" s="53"/>
      <c r="Y3" s="53"/>
    </row>
    <row r="4" spans="1:25" s="54" customFormat="1" ht="18" customHeight="1">
      <c r="B4" s="134"/>
      <c r="C4" s="128"/>
      <c r="D4" s="128"/>
      <c r="E4" s="128"/>
      <c r="F4" s="128"/>
      <c r="G4" s="128"/>
      <c r="H4" s="128"/>
      <c r="I4" s="128"/>
      <c r="J4" s="128"/>
      <c r="K4" s="128"/>
      <c r="L4" s="53"/>
      <c r="M4" s="53"/>
      <c r="N4" s="53"/>
      <c r="O4" s="53"/>
      <c r="P4" s="53"/>
      <c r="Q4" s="53"/>
      <c r="R4" s="53"/>
      <c r="S4" s="53"/>
      <c r="T4" s="53"/>
      <c r="U4" s="53"/>
      <c r="V4" s="53"/>
      <c r="W4" s="53"/>
      <c r="X4" s="53"/>
      <c r="Y4" s="53"/>
    </row>
    <row r="5" spans="1:25" s="54" customFormat="1" ht="18" customHeight="1">
      <c r="B5" s="134"/>
      <c r="C5" s="128"/>
      <c r="D5" s="128"/>
      <c r="E5" s="128"/>
      <c r="F5" s="128"/>
      <c r="G5" s="128"/>
      <c r="H5" s="128"/>
      <c r="I5" s="128"/>
      <c r="J5" s="128"/>
      <c r="K5" s="128"/>
      <c r="L5" s="53"/>
      <c r="M5" s="53"/>
      <c r="N5" s="53"/>
      <c r="O5" s="53"/>
      <c r="P5" s="53"/>
      <c r="Q5" s="53"/>
      <c r="R5" s="53"/>
      <c r="S5" s="53"/>
      <c r="T5" s="53"/>
      <c r="U5" s="53"/>
      <c r="V5" s="53"/>
      <c r="W5" s="53"/>
      <c r="X5" s="53"/>
      <c r="Y5" s="53"/>
    </row>
    <row r="6" spans="1:25" s="54" customFormat="1" ht="18" customHeight="1">
      <c r="B6" s="134"/>
      <c r="C6" s="128"/>
      <c r="D6" s="128"/>
      <c r="E6" s="128"/>
      <c r="F6" s="128"/>
      <c r="G6" s="128"/>
      <c r="H6" s="128"/>
      <c r="I6" s="128"/>
      <c r="J6" s="128"/>
      <c r="K6" s="128"/>
      <c r="L6" s="53"/>
      <c r="M6" s="53"/>
      <c r="N6" s="53"/>
      <c r="O6" s="53"/>
      <c r="P6" s="53"/>
      <c r="Q6" s="53"/>
      <c r="R6" s="53"/>
      <c r="S6" s="53"/>
      <c r="T6" s="53"/>
      <c r="U6" s="53"/>
      <c r="V6" s="53"/>
      <c r="W6" s="53"/>
      <c r="X6" s="53"/>
      <c r="Y6" s="53"/>
    </row>
    <row r="7" spans="1:25" s="54" customFormat="1" ht="145.5" customHeight="1">
      <c r="B7" s="134"/>
      <c r="C7" s="128"/>
      <c r="D7" s="128"/>
      <c r="E7" s="128"/>
      <c r="F7" s="128"/>
      <c r="G7" s="128"/>
      <c r="H7" s="128"/>
      <c r="I7" s="128"/>
      <c r="J7" s="128"/>
      <c r="K7" s="128"/>
      <c r="L7" s="53"/>
      <c r="M7" s="53"/>
      <c r="N7" s="53"/>
      <c r="O7" s="53"/>
      <c r="P7" s="53"/>
      <c r="Q7" s="53"/>
      <c r="R7" s="53"/>
      <c r="S7" s="53"/>
      <c r="T7" s="53"/>
      <c r="U7" s="53"/>
      <c r="V7" s="53"/>
      <c r="W7" s="53"/>
      <c r="X7" s="53"/>
      <c r="Y7" s="53"/>
    </row>
    <row r="8" spans="1:25" ht="18" customHeight="1">
      <c r="B8" s="141" t="s">
        <v>30</v>
      </c>
      <c r="C8" s="142"/>
      <c r="D8" s="142"/>
      <c r="E8" s="142"/>
      <c r="F8" s="142"/>
      <c r="G8" s="142"/>
      <c r="H8" s="142"/>
      <c r="I8" s="142"/>
      <c r="J8" s="143"/>
      <c r="K8" s="63"/>
    </row>
    <row r="9" spans="1:25" ht="18" customHeight="1">
      <c r="B9" s="5">
        <v>19</v>
      </c>
      <c r="C9" s="4">
        <v>20</v>
      </c>
      <c r="D9" s="4">
        <v>21</v>
      </c>
      <c r="E9" s="4">
        <v>22</v>
      </c>
      <c r="F9" s="44">
        <v>23</v>
      </c>
      <c r="G9" s="7">
        <v>24</v>
      </c>
      <c r="H9" s="44">
        <v>25</v>
      </c>
      <c r="I9" s="7">
        <v>26</v>
      </c>
      <c r="J9" s="8">
        <v>27</v>
      </c>
      <c r="K9" s="8">
        <v>28</v>
      </c>
    </row>
    <row r="10" spans="1:25" s="3" customFormat="1" ht="18" customHeight="1">
      <c r="B10" s="129" t="s">
        <v>41</v>
      </c>
      <c r="C10" s="135" t="s">
        <v>31</v>
      </c>
      <c r="D10" s="131" t="s">
        <v>32</v>
      </c>
      <c r="E10" s="131" t="s">
        <v>33</v>
      </c>
      <c r="F10" s="144" t="s">
        <v>34</v>
      </c>
      <c r="G10" s="133" t="s">
        <v>35</v>
      </c>
      <c r="H10" s="147" t="s">
        <v>36</v>
      </c>
      <c r="I10" s="133" t="s">
        <v>37</v>
      </c>
      <c r="J10" s="127" t="s">
        <v>38</v>
      </c>
      <c r="K10" s="127" t="s">
        <v>94</v>
      </c>
      <c r="L10">
        <f>$E$11</f>
        <v>0</v>
      </c>
      <c r="M10">
        <f>$E$11</f>
        <v>0</v>
      </c>
      <c r="N10">
        <f>$G$11</f>
        <v>0</v>
      </c>
      <c r="O10">
        <f>$G$11</f>
        <v>0</v>
      </c>
      <c r="P10">
        <f>$I$11</f>
        <v>0</v>
      </c>
      <c r="Q10">
        <f>$I$11</f>
        <v>0</v>
      </c>
      <c r="R10"/>
      <c r="S10"/>
      <c r="T10"/>
      <c r="U10"/>
      <c r="V10"/>
      <c r="W10"/>
      <c r="X10"/>
      <c r="Y10"/>
    </row>
    <row r="11" spans="1:25" s="3" customFormat="1" ht="18" customHeight="1">
      <c r="B11" s="129"/>
      <c r="C11" s="136"/>
      <c r="D11" s="131"/>
      <c r="E11" s="131"/>
      <c r="F11" s="145"/>
      <c r="G11" s="133"/>
      <c r="H11" s="147"/>
      <c r="I11" s="133"/>
      <c r="J11" s="127"/>
      <c r="K11" s="127"/>
      <c r="L11" s="132" t="s">
        <v>117</v>
      </c>
      <c r="M11" s="132" t="s">
        <v>116</v>
      </c>
      <c r="N11" s="132" t="s">
        <v>117</v>
      </c>
      <c r="O11" s="132" t="s">
        <v>116</v>
      </c>
      <c r="P11" s="132" t="s">
        <v>117</v>
      </c>
      <c r="Q11" s="132" t="s">
        <v>116</v>
      </c>
    </row>
    <row r="12" spans="1:25" s="3" customFormat="1" ht="18" customHeight="1">
      <c r="B12" s="129"/>
      <c r="C12" s="137"/>
      <c r="D12" s="131"/>
      <c r="E12" s="131"/>
      <c r="F12" s="146"/>
      <c r="G12" s="133"/>
      <c r="H12" s="147"/>
      <c r="I12" s="133"/>
      <c r="J12" s="127"/>
      <c r="K12" s="127"/>
      <c r="L12" s="132"/>
      <c r="M12" s="132"/>
      <c r="N12" s="132"/>
      <c r="O12" s="132"/>
      <c r="P12" s="132"/>
      <c r="Q12" s="132"/>
    </row>
    <row r="13" spans="1:25" s="1" customFormat="1" ht="18" customHeight="1" thickBot="1">
      <c r="B13" s="19" t="s">
        <v>10</v>
      </c>
      <c r="C13" s="20" t="s">
        <v>10</v>
      </c>
      <c r="D13" s="20" t="s">
        <v>10</v>
      </c>
      <c r="E13" s="20" t="s">
        <v>10</v>
      </c>
      <c r="F13" s="45" t="s">
        <v>10</v>
      </c>
      <c r="G13" s="21" t="s">
        <v>10</v>
      </c>
      <c r="H13" s="45" t="s">
        <v>8</v>
      </c>
      <c r="I13" s="22" t="s">
        <v>11</v>
      </c>
      <c r="J13" s="22" t="s">
        <v>11</v>
      </c>
      <c r="K13" s="22" t="s">
        <v>39</v>
      </c>
      <c r="L13" s="132"/>
      <c r="M13" s="132"/>
      <c r="N13" s="132"/>
      <c r="O13" s="132"/>
      <c r="P13" s="132"/>
      <c r="Q13" s="132"/>
      <c r="R13" s="3"/>
      <c r="S13" s="3"/>
      <c r="T13" s="3"/>
      <c r="U13" s="3"/>
      <c r="V13" s="3"/>
      <c r="W13" s="3"/>
      <c r="X13" s="3"/>
      <c r="Y13" s="3"/>
    </row>
    <row r="14" spans="1:25" ht="18" customHeight="1">
      <c r="B14" s="15"/>
      <c r="C14" s="16"/>
      <c r="D14" s="16"/>
      <c r="E14" s="16"/>
      <c r="F14" s="32"/>
      <c r="G14" s="17"/>
      <c r="H14" s="32"/>
      <c r="I14" s="17"/>
      <c r="J14" s="18"/>
      <c r="K14" s="18"/>
      <c r="L14" s="1"/>
      <c r="M14" s="1"/>
      <c r="N14" s="1"/>
      <c r="O14" s="1"/>
      <c r="P14" s="1"/>
      <c r="Q14" s="1"/>
      <c r="R14" s="1"/>
      <c r="S14" s="1"/>
      <c r="T14" s="1"/>
      <c r="U14" s="1"/>
      <c r="V14" s="1"/>
      <c r="W14" s="1"/>
      <c r="X14" s="1"/>
      <c r="Y14" s="1"/>
    </row>
    <row r="15" spans="1:25" s="6" customFormat="1" ht="27" customHeight="1">
      <c r="A15" s="23" t="s">
        <v>112</v>
      </c>
      <c r="B15" s="40">
        <v>253463</v>
      </c>
      <c r="C15" s="41">
        <v>4248012.5799999991</v>
      </c>
      <c r="D15" s="26">
        <v>33041656.440000016</v>
      </c>
      <c r="E15" s="26">
        <v>4464382.7399999993</v>
      </c>
      <c r="F15" s="26">
        <v>2019535</v>
      </c>
      <c r="G15" s="39">
        <f>SUM(B15:F15)</f>
        <v>44027049.76000002</v>
      </c>
      <c r="H15" s="25">
        <v>780667</v>
      </c>
      <c r="I15" s="39">
        <f>(G15-E15)/H15</f>
        <v>50.678031760020623</v>
      </c>
      <c r="J15" s="47">
        <f>G15/H15</f>
        <v>56.396709173053324</v>
      </c>
      <c r="K15" s="47">
        <f>G15/'General Statistical Data'!H16</f>
        <v>1853.7705162105271</v>
      </c>
      <c r="L15"/>
      <c r="M15"/>
      <c r="N15"/>
      <c r="O15"/>
      <c r="P15"/>
      <c r="Q15"/>
      <c r="R15"/>
      <c r="S15"/>
      <c r="T15"/>
      <c r="U15"/>
      <c r="V15"/>
      <c r="W15"/>
      <c r="X15"/>
      <c r="Y15"/>
    </row>
    <row r="16" spans="1:25" s="87" customFormat="1" ht="27" customHeight="1">
      <c r="A16" s="23" t="s">
        <v>114</v>
      </c>
      <c r="B16" s="40">
        <f>2656398+1002974</f>
        <v>3659372</v>
      </c>
      <c r="C16" s="41">
        <v>3803361</v>
      </c>
      <c r="D16" s="26">
        <v>25837659</v>
      </c>
      <c r="E16" s="26">
        <f>900082.23+7932407.54</f>
        <v>8832489.7699999996</v>
      </c>
      <c r="F16" s="26">
        <v>3437381.39</v>
      </c>
      <c r="G16" s="39">
        <f>SUM(B16:F16)</f>
        <v>45570263.159999996</v>
      </c>
      <c r="H16" s="25">
        <v>523495</v>
      </c>
      <c r="I16" s="39">
        <f t="shared" ref="I16:I17" si="0">(G16-E16)/H16</f>
        <v>70.177887830829334</v>
      </c>
      <c r="J16" s="47">
        <f t="shared" ref="J16:J17" si="1">G16/H16</f>
        <v>87.05004471866971</v>
      </c>
      <c r="K16" s="47">
        <f>G16/'General Statistical Data'!H17</f>
        <v>1154.8470136847438</v>
      </c>
      <c r="L16" s="102">
        <f>$I$19</f>
        <v>77.141385640833846</v>
      </c>
      <c r="M16" s="102">
        <f>$I$20</f>
        <v>70.177887830829334</v>
      </c>
      <c r="N16" s="102">
        <f>$J$19</f>
        <v>89.281537193695996</v>
      </c>
      <c r="O16" s="102">
        <f>$J$20</f>
        <v>87.05004471866971</v>
      </c>
      <c r="P16" s="102">
        <f>$K$19</f>
        <v>1019.7967660492985</v>
      </c>
      <c r="Q16" s="102">
        <f>$K$20</f>
        <v>1154.8470136847438</v>
      </c>
      <c r="R16" s="6"/>
      <c r="S16" s="6"/>
      <c r="T16" s="6"/>
      <c r="U16" s="6"/>
      <c r="V16" s="6"/>
      <c r="W16" s="6"/>
      <c r="X16" s="6"/>
      <c r="Y16" s="6"/>
    </row>
    <row r="17" spans="1:25" s="87" customFormat="1" ht="27" customHeight="1">
      <c r="A17" s="23" t="s">
        <v>115</v>
      </c>
      <c r="B17" s="40">
        <v>16838532</v>
      </c>
      <c r="C17" s="41">
        <v>11000000</v>
      </c>
      <c r="D17" s="26">
        <v>6000000</v>
      </c>
      <c r="E17" s="26">
        <v>4320000</v>
      </c>
      <c r="F17" s="26">
        <v>700000</v>
      </c>
      <c r="G17" s="39">
        <f>SUM(B17:F17)</f>
        <v>38858532</v>
      </c>
      <c r="H17" s="25">
        <v>312373</v>
      </c>
      <c r="I17" s="39">
        <f t="shared" si="0"/>
        <v>110.56823733165159</v>
      </c>
      <c r="J17" s="47">
        <f t="shared" si="1"/>
        <v>124.39785768936495</v>
      </c>
      <c r="K17" s="47">
        <f>G17/'General Statistical Data'!H18</f>
        <v>50.772768252624317</v>
      </c>
      <c r="L17" s="102">
        <f t="shared" ref="L17:L18" si="2">$I$19</f>
        <v>77.141385640833846</v>
      </c>
      <c r="M17" s="102">
        <f t="shared" ref="M17:M18" si="3">$I$20</f>
        <v>70.177887830829334</v>
      </c>
      <c r="N17" s="102">
        <f t="shared" ref="N17:N18" si="4">$J$19</f>
        <v>89.281537193695996</v>
      </c>
      <c r="O17" s="102">
        <f t="shared" ref="O17:O18" si="5">$J$20</f>
        <v>87.05004471866971</v>
      </c>
      <c r="P17" s="102">
        <f t="shared" ref="P17:P18" si="6">$K$19</f>
        <v>1019.7967660492985</v>
      </c>
      <c r="Q17" s="102">
        <f t="shared" ref="Q17:Q18" si="7">$K$20</f>
        <v>1154.8470136847438</v>
      </c>
      <c r="R17" s="6"/>
      <c r="S17" s="6"/>
      <c r="T17" s="6"/>
      <c r="U17" s="6"/>
      <c r="V17" s="6"/>
      <c r="W17" s="6"/>
      <c r="X17" s="6"/>
      <c r="Y17" s="6"/>
    </row>
    <row r="18" spans="1:25" ht="18" customHeight="1">
      <c r="B18" s="48"/>
      <c r="C18" s="49"/>
      <c r="D18" s="11"/>
      <c r="E18" s="11"/>
      <c r="F18" s="33"/>
      <c r="G18" s="39"/>
      <c r="H18" s="46"/>
      <c r="I18" s="39"/>
      <c r="J18" s="47"/>
      <c r="K18" s="47"/>
      <c r="L18" s="102">
        <f t="shared" si="2"/>
        <v>77.141385640833846</v>
      </c>
      <c r="M18" s="102">
        <f t="shared" si="3"/>
        <v>70.177887830829334</v>
      </c>
      <c r="N18" s="102">
        <f t="shared" si="4"/>
        <v>89.281537193695996</v>
      </c>
      <c r="O18" s="102">
        <f t="shared" si="5"/>
        <v>87.05004471866971</v>
      </c>
      <c r="P18" s="102">
        <f t="shared" si="6"/>
        <v>1019.7967660492985</v>
      </c>
      <c r="Q18" s="102">
        <f t="shared" si="7"/>
        <v>1154.8470136847438</v>
      </c>
      <c r="R18" s="6"/>
      <c r="S18" s="6"/>
      <c r="T18" s="6"/>
      <c r="U18" s="6"/>
      <c r="V18" s="6"/>
      <c r="W18" s="6"/>
      <c r="X18" s="6"/>
      <c r="Y18" s="6"/>
    </row>
    <row r="19" spans="1:25" ht="18" customHeight="1">
      <c r="A19" s="94" t="s">
        <v>117</v>
      </c>
      <c r="B19" s="95">
        <f t="shared" ref="B19:K19" si="8">AVERAGE(B15:B18)</f>
        <v>6917122.333333333</v>
      </c>
      <c r="C19" s="95">
        <f t="shared" si="8"/>
        <v>6350457.8599999994</v>
      </c>
      <c r="D19" s="95">
        <f t="shared" si="8"/>
        <v>21626438.480000004</v>
      </c>
      <c r="E19" s="95">
        <f t="shared" si="8"/>
        <v>5872290.836666666</v>
      </c>
      <c r="F19" s="95">
        <f t="shared" si="8"/>
        <v>2052305.4633333336</v>
      </c>
      <c r="G19" s="95">
        <f t="shared" si="8"/>
        <v>42818614.973333336</v>
      </c>
      <c r="H19" s="95">
        <f t="shared" si="8"/>
        <v>538845</v>
      </c>
      <c r="I19" s="95">
        <f t="shared" si="8"/>
        <v>77.141385640833846</v>
      </c>
      <c r="J19" s="95">
        <f t="shared" si="8"/>
        <v>89.281537193695996</v>
      </c>
      <c r="K19" s="95">
        <f t="shared" si="8"/>
        <v>1019.7967660492985</v>
      </c>
    </row>
    <row r="20" spans="1:25" ht="18" customHeight="1">
      <c r="A20" s="96" t="s">
        <v>116</v>
      </c>
      <c r="B20" s="97">
        <f t="shared" ref="B20:J20" si="9">MEDIAN(B15:B18)</f>
        <v>3659372</v>
      </c>
      <c r="C20" s="97">
        <f t="shared" si="9"/>
        <v>4248012.5799999991</v>
      </c>
      <c r="D20" s="97">
        <f t="shared" si="9"/>
        <v>25837659</v>
      </c>
      <c r="E20" s="97">
        <f t="shared" si="9"/>
        <v>4464382.7399999993</v>
      </c>
      <c r="F20" s="97">
        <f t="shared" si="9"/>
        <v>2019535</v>
      </c>
      <c r="G20" s="97">
        <f t="shared" si="9"/>
        <v>44027049.76000002</v>
      </c>
      <c r="H20" s="97">
        <f t="shared" si="9"/>
        <v>523495</v>
      </c>
      <c r="I20" s="97">
        <f t="shared" si="9"/>
        <v>70.177887830829334</v>
      </c>
      <c r="J20" s="97">
        <f t="shared" si="9"/>
        <v>87.05004471866971</v>
      </c>
      <c r="K20" s="97">
        <f t="shared" ref="K20" si="10">MEDIAN(K15:K18)</f>
        <v>1154.8470136847438</v>
      </c>
    </row>
    <row r="21" spans="1:25" ht="27" customHeight="1" thickBot="1">
      <c r="B21" s="42">
        <f>10611978/7</f>
        <v>1515996.857142857</v>
      </c>
      <c r="C21" s="43">
        <f>8131650/7</f>
        <v>1161664.2857142857</v>
      </c>
      <c r="D21" s="30">
        <f>100351806/7</f>
        <v>14335972.285714285</v>
      </c>
      <c r="E21" s="30">
        <f>8909173/7</f>
        <v>1272739</v>
      </c>
      <c r="F21" s="30">
        <f>4184817/7</f>
        <v>597831</v>
      </c>
      <c r="G21" s="60">
        <f>SUM(B21:F21)</f>
        <v>18884203.428571429</v>
      </c>
      <c r="H21" s="29">
        <f>2748364/7</f>
        <v>392623.42857142858</v>
      </c>
      <c r="I21" s="60">
        <f>(G21-E21)/H21</f>
        <v>44.855867345082387</v>
      </c>
      <c r="J21" s="64">
        <f>G21/H21</f>
        <v>48.097495091625419</v>
      </c>
      <c r="K21" s="64">
        <f>G21/'General Statistical Data'!H22</f>
        <v>891.10057703715688</v>
      </c>
    </row>
  </sheetData>
  <protectedRanges>
    <protectedRange sqref="H15" name="Range2"/>
    <protectedRange sqref="B15:F15" name="Range1"/>
    <protectedRange sqref="H16" name="Range2_1"/>
    <protectedRange sqref="B16:F16" name="Range1_1"/>
    <protectedRange sqref="H17" name="Range2_2"/>
    <protectedRange sqref="B17:F17" name="Range1_2"/>
    <protectedRange sqref="A15" name="Range1_3"/>
    <protectedRange sqref="A16" name="Range1_1_1"/>
    <protectedRange sqref="A17" name="Range1_2_1"/>
  </protectedRanges>
  <mergeCells count="28">
    <mergeCell ref="Q11:Q13"/>
    <mergeCell ref="L11:L13"/>
    <mergeCell ref="M11:M13"/>
    <mergeCell ref="N11:N13"/>
    <mergeCell ref="O11:O13"/>
    <mergeCell ref="P11:P13"/>
    <mergeCell ref="B1:J1"/>
    <mergeCell ref="B3:B7"/>
    <mergeCell ref="C3:C7"/>
    <mergeCell ref="D3:D7"/>
    <mergeCell ref="E3:E7"/>
    <mergeCell ref="F3:F7"/>
    <mergeCell ref="G3:G7"/>
    <mergeCell ref="H3:H7"/>
    <mergeCell ref="I3:I7"/>
    <mergeCell ref="J3:J7"/>
    <mergeCell ref="K3:K7"/>
    <mergeCell ref="K10:K12"/>
    <mergeCell ref="B8:J8"/>
    <mergeCell ref="B10:B12"/>
    <mergeCell ref="C10:C12"/>
    <mergeCell ref="D10:D12"/>
    <mergeCell ref="E10:E12"/>
    <mergeCell ref="F10:F12"/>
    <mergeCell ref="G10:G12"/>
    <mergeCell ref="H10:H12"/>
    <mergeCell ref="I10:I12"/>
    <mergeCell ref="J10:J12"/>
  </mergeCells>
  <phoneticPr fontId="3" type="noConversion"/>
  <pageMargins left="0.75" right="0.75" top="1" bottom="1" header="0.5" footer="0.5"/>
  <pageSetup paperSize="9" orientation="landscape" horizontalDpi="4294967293" verticalDpi="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30"/>
  <sheetViews>
    <sheetView topLeftCell="B13" workbookViewId="0">
      <selection activeCell="D20" sqref="D20"/>
    </sheetView>
  </sheetViews>
  <sheetFormatPr baseColWidth="10" defaultColWidth="14.6640625" defaultRowHeight="18" customHeight="1"/>
  <sheetData>
    <row r="1" spans="2:15" ht="18" customHeight="1">
      <c r="B1" s="119">
        <f>+'General Statistical Data'!A1:I1</f>
        <v>0</v>
      </c>
      <c r="C1" s="119"/>
      <c r="D1" s="119"/>
      <c r="E1" s="119"/>
      <c r="F1" s="119"/>
    </row>
    <row r="3" spans="2:15" ht="27.75" customHeight="1">
      <c r="B3" s="128" t="s">
        <v>74</v>
      </c>
      <c r="C3" s="128" t="s">
        <v>77</v>
      </c>
      <c r="D3" s="128" t="s">
        <v>19</v>
      </c>
      <c r="E3" s="128" t="s">
        <v>95</v>
      </c>
      <c r="F3" s="128" t="s">
        <v>19</v>
      </c>
      <c r="G3" s="53"/>
      <c r="H3" s="53"/>
      <c r="I3" s="53"/>
      <c r="J3" s="53"/>
      <c r="K3" s="53"/>
      <c r="L3" s="53"/>
      <c r="M3" s="53"/>
      <c r="N3" s="53"/>
      <c r="O3" s="53"/>
    </row>
    <row r="4" spans="2:15" ht="18" customHeight="1">
      <c r="B4" s="128"/>
      <c r="C4" s="128"/>
      <c r="D4" s="128"/>
      <c r="E4" s="128"/>
      <c r="F4" s="128"/>
      <c r="G4" s="53"/>
      <c r="H4" s="53"/>
      <c r="I4" s="53"/>
      <c r="J4" s="53"/>
      <c r="K4" s="53"/>
      <c r="L4" s="53"/>
      <c r="M4" s="53"/>
      <c r="N4" s="53"/>
      <c r="O4" s="53"/>
    </row>
    <row r="5" spans="2:15" ht="18" customHeight="1">
      <c r="B5" s="128"/>
      <c r="C5" s="128"/>
      <c r="D5" s="128"/>
      <c r="E5" s="128"/>
      <c r="F5" s="128"/>
      <c r="G5" s="53"/>
      <c r="H5" s="53"/>
      <c r="I5" s="53"/>
      <c r="J5" s="53"/>
      <c r="K5" s="53"/>
      <c r="L5" s="53"/>
      <c r="M5" s="53"/>
      <c r="N5" s="53"/>
      <c r="O5" s="53"/>
    </row>
    <row r="6" spans="2:15" ht="18" customHeight="1">
      <c r="B6" s="128"/>
      <c r="C6" s="128"/>
      <c r="D6" s="128"/>
      <c r="E6" s="128"/>
      <c r="F6" s="128"/>
      <c r="G6" s="53"/>
      <c r="H6" s="53"/>
      <c r="I6" s="53"/>
      <c r="J6" s="53"/>
      <c r="K6" s="53"/>
      <c r="L6" s="53"/>
      <c r="M6" s="53"/>
      <c r="N6" s="53"/>
      <c r="O6" s="53"/>
    </row>
    <row r="7" spans="2:15" ht="18" customHeight="1">
      <c r="B7" s="128"/>
      <c r="C7" s="128"/>
      <c r="D7" s="128"/>
      <c r="E7" s="128"/>
      <c r="F7" s="128"/>
      <c r="G7" s="53"/>
      <c r="H7" s="53"/>
      <c r="I7" s="53"/>
      <c r="J7" s="53"/>
      <c r="K7" s="53"/>
      <c r="L7" s="53"/>
      <c r="M7" s="53"/>
      <c r="N7" s="53"/>
      <c r="O7" s="53"/>
    </row>
    <row r="8" spans="2:15" ht="18" customHeight="1">
      <c r="B8" s="128"/>
      <c r="C8" s="128"/>
      <c r="D8" s="128"/>
      <c r="E8" s="128"/>
      <c r="F8" s="128"/>
    </row>
    <row r="9" spans="2:15" ht="18" customHeight="1">
      <c r="B9" s="128"/>
      <c r="C9" s="128"/>
      <c r="D9" s="128"/>
      <c r="E9" s="128"/>
      <c r="F9" s="128"/>
    </row>
    <row r="10" spans="2:15" ht="18" customHeight="1">
      <c r="B10" s="128"/>
      <c r="C10" s="128"/>
      <c r="D10" s="128"/>
      <c r="E10" s="128"/>
      <c r="F10" s="128"/>
    </row>
    <row r="11" spans="2:15" ht="18" customHeight="1">
      <c r="B11" s="128"/>
      <c r="C11" s="128"/>
      <c r="D11" s="128"/>
      <c r="E11" s="128"/>
      <c r="F11" s="128"/>
      <c r="I11" s="3"/>
      <c r="J11" s="3"/>
      <c r="K11" s="3"/>
      <c r="L11" s="3"/>
      <c r="M11" s="3"/>
      <c r="N11" s="3"/>
      <c r="O11" s="3"/>
    </row>
    <row r="12" spans="2:15" ht="18" customHeight="1">
      <c r="B12" s="128"/>
      <c r="C12" s="128"/>
      <c r="D12" s="128"/>
      <c r="E12" s="128"/>
      <c r="F12" s="128"/>
      <c r="I12" s="3"/>
      <c r="J12" s="3"/>
      <c r="K12" s="3"/>
      <c r="L12" s="3"/>
      <c r="M12" s="3"/>
      <c r="N12" s="3"/>
      <c r="O12" s="3"/>
    </row>
    <row r="13" spans="2:15" ht="18" customHeight="1">
      <c r="B13" s="128"/>
      <c r="C13" s="128"/>
      <c r="D13" s="128"/>
      <c r="E13" s="128"/>
      <c r="F13" s="128"/>
      <c r="I13" s="3"/>
      <c r="J13" s="3"/>
      <c r="K13" s="3"/>
      <c r="L13" s="3"/>
      <c r="M13" s="3"/>
      <c r="N13" s="3"/>
      <c r="O13" s="3"/>
    </row>
    <row r="14" spans="2:15" ht="18" customHeight="1" thickBot="1">
      <c r="B14" s="2"/>
      <c r="C14" s="2"/>
      <c r="D14" s="2"/>
      <c r="E14" s="2"/>
      <c r="F14" s="2"/>
      <c r="I14" s="1"/>
      <c r="J14" s="1"/>
      <c r="K14" s="1"/>
      <c r="L14" s="1"/>
      <c r="M14" s="1"/>
      <c r="N14" s="1"/>
      <c r="O14" s="1"/>
    </row>
    <row r="15" spans="2:15" ht="18" customHeight="1">
      <c r="B15" s="148" t="s">
        <v>40</v>
      </c>
      <c r="C15" s="149"/>
      <c r="D15" s="149"/>
      <c r="E15" s="149"/>
      <c r="F15" s="149"/>
    </row>
    <row r="16" spans="2:15" ht="18" customHeight="1">
      <c r="B16" s="5">
        <v>44</v>
      </c>
      <c r="C16" s="4">
        <v>45</v>
      </c>
      <c r="D16" s="7">
        <v>46</v>
      </c>
      <c r="E16" s="4">
        <v>47</v>
      </c>
      <c r="F16" s="7">
        <v>48</v>
      </c>
      <c r="G16">
        <f>$E$11</f>
        <v>0</v>
      </c>
      <c r="H16">
        <f>$E$11</f>
        <v>0</v>
      </c>
      <c r="I16" s="6"/>
      <c r="J16" s="6"/>
      <c r="K16" s="6"/>
      <c r="L16" s="6"/>
      <c r="M16" s="6"/>
      <c r="N16" s="6"/>
      <c r="O16" s="6"/>
    </row>
    <row r="17" spans="1:15" s="3" customFormat="1" ht="18" customHeight="1">
      <c r="B17" s="129" t="s">
        <v>41</v>
      </c>
      <c r="C17" s="135" t="s">
        <v>24</v>
      </c>
      <c r="D17" s="133" t="s">
        <v>42</v>
      </c>
      <c r="E17" s="131" t="s">
        <v>84</v>
      </c>
      <c r="F17" s="138" t="s">
        <v>43</v>
      </c>
      <c r="G17" s="132" t="s">
        <v>117</v>
      </c>
      <c r="H17" s="132" t="s">
        <v>116</v>
      </c>
      <c r="I17" s="6"/>
      <c r="J17" s="6"/>
      <c r="K17" s="6"/>
      <c r="L17" s="6"/>
      <c r="M17" s="6"/>
      <c r="N17" s="6"/>
      <c r="O17" s="6"/>
    </row>
    <row r="18" spans="1:15" s="3" customFormat="1" ht="18" customHeight="1">
      <c r="B18" s="129"/>
      <c r="C18" s="136"/>
      <c r="D18" s="133"/>
      <c r="E18" s="131"/>
      <c r="F18" s="139"/>
      <c r="G18" s="132"/>
      <c r="H18" s="132"/>
      <c r="I18" s="6"/>
      <c r="J18" s="6"/>
      <c r="K18" s="6"/>
      <c r="L18" s="6"/>
      <c r="M18" s="6"/>
      <c r="N18" s="6"/>
      <c r="O18" s="6"/>
    </row>
    <row r="19" spans="1:15" s="3" customFormat="1" ht="18" customHeight="1">
      <c r="B19" s="129"/>
      <c r="C19" s="137"/>
      <c r="D19" s="133"/>
      <c r="E19" s="131"/>
      <c r="F19" s="140"/>
      <c r="G19" s="132"/>
      <c r="H19" s="132"/>
      <c r="I19"/>
      <c r="J19"/>
      <c r="K19"/>
      <c r="L19"/>
      <c r="M19"/>
      <c r="N19"/>
      <c r="O19"/>
    </row>
    <row r="20" spans="1:15" s="1" customFormat="1" ht="18" customHeight="1" thickBot="1">
      <c r="B20" s="19" t="s">
        <v>10</v>
      </c>
      <c r="C20" s="20" t="s">
        <v>10</v>
      </c>
      <c r="D20" s="21" t="s">
        <v>10</v>
      </c>
      <c r="E20" s="20" t="s">
        <v>45</v>
      </c>
      <c r="F20" s="21" t="s">
        <v>10</v>
      </c>
      <c r="I20"/>
      <c r="J20"/>
      <c r="K20"/>
      <c r="L20"/>
      <c r="M20"/>
      <c r="N20"/>
      <c r="O20"/>
    </row>
    <row r="21" spans="1:15" ht="18" customHeight="1">
      <c r="B21" s="15"/>
      <c r="C21" s="16"/>
      <c r="D21" s="17"/>
      <c r="E21" s="16"/>
      <c r="F21" s="17"/>
    </row>
    <row r="22" spans="1:15" s="6" customFormat="1" ht="27" customHeight="1">
      <c r="A22" s="23" t="s">
        <v>112</v>
      </c>
      <c r="B22" s="40">
        <f>1762551+642960</f>
        <v>2405511</v>
      </c>
      <c r="C22" s="41">
        <f>2428812+104685+13131737</f>
        <v>15665234</v>
      </c>
      <c r="D22" s="36">
        <f>SUM(B22:C22)</f>
        <v>18070745</v>
      </c>
      <c r="E22" s="25">
        <v>1094.99</v>
      </c>
      <c r="F22" s="36">
        <f>D22/E22</f>
        <v>16503.114183691174</v>
      </c>
      <c r="G22" s="109">
        <f>$F$26</f>
        <v>30842.107358250407</v>
      </c>
      <c r="H22" s="109">
        <f>$F$27</f>
        <v>16503.114183691174</v>
      </c>
      <c r="I22"/>
      <c r="J22"/>
      <c r="K22"/>
      <c r="L22"/>
      <c r="M22"/>
      <c r="N22"/>
      <c r="O22"/>
    </row>
    <row r="23" spans="1:15" s="87" customFormat="1" ht="27" customHeight="1">
      <c r="A23" s="23" t="s">
        <v>114</v>
      </c>
      <c r="B23" s="40">
        <v>3308115</v>
      </c>
      <c r="C23" s="41">
        <v>27396658</v>
      </c>
      <c r="D23" s="36">
        <f>SUM(B23:C23)</f>
        <v>30704773</v>
      </c>
      <c r="E23" s="25">
        <v>404</v>
      </c>
      <c r="F23" s="36">
        <f>D23/E23</f>
        <v>76001.913366336637</v>
      </c>
      <c r="G23" s="109">
        <f t="shared" ref="G23:G24" si="0">$F$26</f>
        <v>30842.107358250407</v>
      </c>
      <c r="H23" s="109">
        <f t="shared" ref="H23:H24" si="1">$F$27</f>
        <v>16503.114183691174</v>
      </c>
      <c r="I23"/>
      <c r="J23"/>
      <c r="K23"/>
      <c r="L23"/>
      <c r="M23"/>
      <c r="N23"/>
      <c r="O23"/>
    </row>
    <row r="24" spans="1:15" s="87" customFormat="1" ht="27" customHeight="1">
      <c r="A24" s="23" t="s">
        <v>115</v>
      </c>
      <c r="B24" s="40">
        <v>1421200.7142857143</v>
      </c>
      <c r="C24" s="41">
        <v>5230633.8571428573</v>
      </c>
      <c r="D24" s="36">
        <f>SUM(B24:C24)</f>
        <v>6651834.5714285718</v>
      </c>
      <c r="E24" s="25">
        <v>312373</v>
      </c>
      <c r="F24" s="36">
        <f>D24/E24</f>
        <v>21.294524723419027</v>
      </c>
      <c r="G24" s="109">
        <f t="shared" si="0"/>
        <v>30842.107358250407</v>
      </c>
      <c r="H24" s="109">
        <f t="shared" si="1"/>
        <v>16503.114183691174</v>
      </c>
      <c r="I24"/>
      <c r="J24"/>
      <c r="K24"/>
      <c r="L24"/>
      <c r="M24"/>
      <c r="N24"/>
      <c r="O24"/>
    </row>
    <row r="25" spans="1:15" ht="18" customHeight="1">
      <c r="B25" s="13"/>
      <c r="C25" s="9"/>
      <c r="D25" s="36"/>
      <c r="E25" s="14"/>
      <c r="F25" s="36"/>
    </row>
    <row r="26" spans="1:15" ht="18" customHeight="1">
      <c r="A26" s="94" t="s">
        <v>117</v>
      </c>
      <c r="B26" s="95">
        <f t="shared" ref="B26:F26" si="2">AVERAGE(B22:B25)</f>
        <v>2378275.5714285714</v>
      </c>
      <c r="C26" s="95">
        <f t="shared" si="2"/>
        <v>16097508.619047619</v>
      </c>
      <c r="D26" s="95">
        <f t="shared" si="2"/>
        <v>18475784.19047619</v>
      </c>
      <c r="E26" s="95">
        <f t="shared" si="2"/>
        <v>104623.99666666666</v>
      </c>
      <c r="F26" s="95">
        <f t="shared" si="2"/>
        <v>30842.107358250407</v>
      </c>
    </row>
    <row r="27" spans="1:15" ht="18" customHeight="1">
      <c r="A27" s="96" t="s">
        <v>116</v>
      </c>
      <c r="B27" s="97">
        <f t="shared" ref="B27:F27" si="3">MEDIAN(B22:B25)</f>
        <v>2405511</v>
      </c>
      <c r="C27" s="97">
        <f t="shared" si="3"/>
        <v>15665234</v>
      </c>
      <c r="D27" s="97">
        <f t="shared" si="3"/>
        <v>18070745</v>
      </c>
      <c r="E27" s="97">
        <f t="shared" si="3"/>
        <v>1094.99</v>
      </c>
      <c r="F27" s="97">
        <f t="shared" si="3"/>
        <v>16503.114183691174</v>
      </c>
    </row>
    <row r="28" spans="1:15" ht="27" customHeight="1" thickBot="1">
      <c r="B28" s="42">
        <f>9948405/7</f>
        <v>1421200.7142857143</v>
      </c>
      <c r="C28" s="43">
        <f>36614437/7</f>
        <v>5230633.8571428573</v>
      </c>
      <c r="D28" s="61">
        <f>SUM(B28:C28)</f>
        <v>6651834.5714285718</v>
      </c>
      <c r="E28" s="29">
        <f>1338/7</f>
        <v>191.14285714285714</v>
      </c>
      <c r="F28" s="61">
        <f>D28/E28</f>
        <v>34800.330343796712</v>
      </c>
    </row>
    <row r="30" spans="1:15" ht="18" customHeight="1">
      <c r="C30" s="87"/>
    </row>
  </sheetData>
  <protectedRanges>
    <protectedRange sqref="E22" name="Range2"/>
    <protectedRange sqref="B22:C22" name="Range1"/>
    <protectedRange sqref="E23" name="Range2_1"/>
    <protectedRange sqref="B23:C23" name="Range1_1"/>
    <protectedRange sqref="E24" name="Range2_2"/>
    <protectedRange sqref="B24:C24" name="Range1_2"/>
    <protectedRange sqref="A22" name="Range1_3"/>
    <protectedRange sqref="A23" name="Range1_1_1"/>
    <protectedRange sqref="A24" name="Range1_2_1"/>
  </protectedRanges>
  <mergeCells count="14">
    <mergeCell ref="G17:G19"/>
    <mergeCell ref="H17:H19"/>
    <mergeCell ref="B1:F1"/>
    <mergeCell ref="F17:F19"/>
    <mergeCell ref="B15:F15"/>
    <mergeCell ref="B17:B19"/>
    <mergeCell ref="C17:C19"/>
    <mergeCell ref="F3:F13"/>
    <mergeCell ref="D17:D19"/>
    <mergeCell ref="E17:E19"/>
    <mergeCell ref="B3:B13"/>
    <mergeCell ref="C3:C13"/>
    <mergeCell ref="D3:D13"/>
    <mergeCell ref="E3:E13"/>
  </mergeCells>
  <phoneticPr fontId="3" type="noConversion"/>
  <pageMargins left="0.75" right="0.75" top="1" bottom="1" header="0.5" footer="0.5"/>
  <pageSetup paperSize="9" orientation="landscape" horizontalDpi="4294967293" verticalDpi="0"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A27"/>
  <sheetViews>
    <sheetView topLeftCell="P16" zoomScale="85" zoomScaleNormal="85" workbookViewId="0">
      <selection activeCell="X80" sqref="X80"/>
    </sheetView>
  </sheetViews>
  <sheetFormatPr baseColWidth="10" defaultColWidth="14.6640625" defaultRowHeight="18" customHeight="1"/>
  <sheetData>
    <row r="1" spans="2:27" ht="18" customHeight="1">
      <c r="B1" s="119">
        <f>+'General Statistical Data'!A1:I1</f>
        <v>0</v>
      </c>
      <c r="C1" s="119"/>
      <c r="D1" s="119"/>
      <c r="E1" s="119"/>
      <c r="F1" s="119"/>
      <c r="G1" s="119"/>
      <c r="H1" s="119"/>
      <c r="I1" s="119"/>
    </row>
    <row r="3" spans="2:27" ht="18" customHeight="1">
      <c r="B3" s="150" t="s">
        <v>96</v>
      </c>
      <c r="C3" s="150" t="s">
        <v>97</v>
      </c>
      <c r="D3" s="150" t="s">
        <v>87</v>
      </c>
      <c r="E3" s="150" t="s">
        <v>19</v>
      </c>
      <c r="F3" s="150" t="s">
        <v>19</v>
      </c>
      <c r="G3" s="150" t="s">
        <v>19</v>
      </c>
      <c r="H3" s="150" t="s">
        <v>19</v>
      </c>
      <c r="I3" s="150" t="s">
        <v>19</v>
      </c>
      <c r="J3" s="53"/>
      <c r="K3" s="53"/>
      <c r="L3" s="53"/>
      <c r="M3" s="53"/>
      <c r="N3" s="53"/>
      <c r="O3" s="53"/>
      <c r="P3" s="53"/>
      <c r="Q3" s="53"/>
      <c r="R3" s="53"/>
      <c r="S3" s="53"/>
      <c r="T3" s="53"/>
      <c r="U3" s="53"/>
      <c r="V3" s="53"/>
      <c r="W3" s="53"/>
      <c r="X3" s="53"/>
      <c r="Y3" s="53"/>
      <c r="Z3" s="53"/>
      <c r="AA3" s="53"/>
    </row>
    <row r="4" spans="2:27" ht="18" customHeight="1">
      <c r="B4" s="150"/>
      <c r="C4" s="150"/>
      <c r="D4" s="150"/>
      <c r="E4" s="150"/>
      <c r="F4" s="150"/>
      <c r="G4" s="150"/>
      <c r="H4" s="150"/>
      <c r="I4" s="150"/>
      <c r="J4" s="53"/>
      <c r="K4" s="53"/>
      <c r="L4" s="53"/>
      <c r="M4" s="53"/>
      <c r="N4" s="53"/>
      <c r="O4" s="53"/>
      <c r="P4" s="53"/>
      <c r="Q4" s="53"/>
      <c r="R4" s="53"/>
      <c r="S4" s="53"/>
      <c r="T4" s="53"/>
      <c r="U4" s="53"/>
      <c r="V4" s="53"/>
      <c r="W4" s="53"/>
      <c r="X4" s="53"/>
      <c r="Y4" s="53"/>
      <c r="Z4" s="53"/>
      <c r="AA4" s="53"/>
    </row>
    <row r="5" spans="2:27" ht="18" customHeight="1">
      <c r="B5" s="150"/>
      <c r="C5" s="150"/>
      <c r="D5" s="150"/>
      <c r="E5" s="150"/>
      <c r="F5" s="150"/>
      <c r="G5" s="150"/>
      <c r="H5" s="150"/>
      <c r="I5" s="150"/>
      <c r="J5" s="53"/>
      <c r="K5" s="53"/>
      <c r="L5" s="53"/>
      <c r="M5" s="53"/>
      <c r="N5" s="53"/>
      <c r="O5" s="53"/>
      <c r="P5" s="53"/>
      <c r="Q5" s="53"/>
      <c r="R5" s="53"/>
      <c r="S5" s="53"/>
      <c r="T5" s="53"/>
      <c r="U5" s="53"/>
      <c r="V5" s="53"/>
      <c r="W5" s="53"/>
      <c r="X5" s="53"/>
      <c r="Y5" s="53"/>
      <c r="Z5" s="53"/>
      <c r="AA5" s="53"/>
    </row>
    <row r="6" spans="2:27" ht="18" customHeight="1">
      <c r="B6" s="150"/>
      <c r="C6" s="150"/>
      <c r="D6" s="150"/>
      <c r="E6" s="150"/>
      <c r="F6" s="150"/>
      <c r="G6" s="150"/>
      <c r="H6" s="150"/>
      <c r="I6" s="150"/>
      <c r="J6" s="53"/>
      <c r="K6" s="53"/>
      <c r="L6" s="53"/>
      <c r="M6" s="53"/>
      <c r="N6" s="53"/>
      <c r="O6" s="53"/>
      <c r="P6" s="53"/>
      <c r="Q6" s="53"/>
      <c r="R6" s="53"/>
      <c r="S6" s="53"/>
      <c r="T6" s="53"/>
      <c r="U6" s="53"/>
      <c r="V6" s="53"/>
      <c r="W6" s="53"/>
      <c r="X6" s="53"/>
      <c r="Y6" s="53"/>
      <c r="Z6" s="53"/>
      <c r="AA6" s="53"/>
    </row>
    <row r="7" spans="2:27" ht="18" customHeight="1">
      <c r="B7" s="150"/>
      <c r="C7" s="150"/>
      <c r="D7" s="150"/>
      <c r="E7" s="150"/>
      <c r="F7" s="150"/>
      <c r="G7" s="150"/>
      <c r="H7" s="150"/>
      <c r="I7" s="150"/>
      <c r="J7" s="53"/>
      <c r="K7" s="53"/>
      <c r="L7" s="53"/>
      <c r="M7" s="53"/>
      <c r="N7" s="53"/>
      <c r="O7" s="53"/>
      <c r="P7" s="53"/>
      <c r="Q7" s="53"/>
      <c r="R7" s="53"/>
      <c r="S7" s="53"/>
      <c r="T7" s="53"/>
      <c r="U7" s="53"/>
      <c r="V7" s="53"/>
      <c r="W7" s="53"/>
      <c r="X7" s="53"/>
      <c r="Y7" s="53"/>
      <c r="Z7" s="53"/>
      <c r="AA7" s="53"/>
    </row>
    <row r="8" spans="2:27" ht="18" customHeight="1">
      <c r="B8" s="150"/>
      <c r="C8" s="150"/>
      <c r="D8" s="150"/>
      <c r="E8" s="150"/>
      <c r="F8" s="150"/>
      <c r="G8" s="150"/>
      <c r="H8" s="150"/>
      <c r="I8" s="150"/>
    </row>
    <row r="9" spans="2:27" ht="18" customHeight="1">
      <c r="B9" s="150"/>
      <c r="C9" s="150"/>
      <c r="D9" s="150"/>
      <c r="E9" s="150"/>
      <c r="F9" s="150"/>
      <c r="G9" s="150"/>
      <c r="H9" s="150"/>
      <c r="I9" s="150"/>
    </row>
    <row r="10" spans="2:27" ht="18" customHeight="1">
      <c r="B10" s="150"/>
      <c r="C10" s="150"/>
      <c r="D10" s="150"/>
      <c r="E10" s="150"/>
      <c r="F10" s="150"/>
      <c r="G10" s="150"/>
      <c r="H10" s="150"/>
      <c r="I10" s="150"/>
    </row>
    <row r="11" spans="2:27" ht="18" customHeight="1">
      <c r="B11" s="150"/>
      <c r="C11" s="150"/>
      <c r="D11" s="150"/>
      <c r="E11" s="150"/>
      <c r="F11" s="150"/>
      <c r="G11" s="150"/>
      <c r="H11" s="150"/>
      <c r="I11" s="150"/>
      <c r="T11" s="3"/>
      <c r="U11" s="3"/>
      <c r="V11" s="3"/>
      <c r="W11" s="3"/>
      <c r="X11" s="3"/>
      <c r="Y11" s="3"/>
      <c r="Z11" s="3"/>
      <c r="AA11" s="3"/>
    </row>
    <row r="12" spans="2:27" ht="18" customHeight="1">
      <c r="B12" s="150"/>
      <c r="C12" s="150"/>
      <c r="D12" s="150"/>
      <c r="E12" s="150"/>
      <c r="F12" s="150"/>
      <c r="G12" s="150"/>
      <c r="H12" s="150"/>
      <c r="I12" s="150"/>
      <c r="T12" s="3"/>
      <c r="U12" s="3"/>
      <c r="V12" s="3"/>
      <c r="W12" s="3"/>
      <c r="X12" s="3"/>
      <c r="Y12" s="3"/>
      <c r="Z12" s="3"/>
      <c r="AA12" s="3"/>
    </row>
    <row r="13" spans="2:27" ht="18" customHeight="1" thickBot="1">
      <c r="B13" s="2"/>
      <c r="C13" s="2"/>
      <c r="D13" s="2"/>
      <c r="E13" s="2"/>
      <c r="F13" s="2"/>
      <c r="G13" s="2"/>
      <c r="H13" s="2"/>
      <c r="I13" s="2"/>
      <c r="T13" s="3"/>
      <c r="U13" s="3"/>
      <c r="V13" s="3"/>
      <c r="W13" s="3"/>
      <c r="X13" s="3"/>
      <c r="Y13" s="3"/>
      <c r="Z13" s="3"/>
      <c r="AA13" s="3"/>
    </row>
    <row r="14" spans="2:27" ht="18" customHeight="1">
      <c r="B14" s="121" t="s">
        <v>52</v>
      </c>
      <c r="C14" s="122"/>
      <c r="D14" s="122"/>
      <c r="E14" s="122"/>
      <c r="F14" s="122"/>
      <c r="G14" s="122"/>
      <c r="H14" s="122"/>
      <c r="I14" s="122"/>
      <c r="T14" s="1"/>
      <c r="U14" s="1"/>
      <c r="V14" s="1"/>
      <c r="W14" s="1"/>
      <c r="X14" s="1"/>
      <c r="Y14" s="1"/>
      <c r="Z14" s="1"/>
      <c r="AA14" s="1"/>
    </row>
    <row r="15" spans="2:27" ht="18" customHeight="1">
      <c r="B15" s="5">
        <v>29</v>
      </c>
      <c r="C15" s="4">
        <v>30</v>
      </c>
      <c r="D15" s="44">
        <v>31</v>
      </c>
      <c r="E15" s="7">
        <v>32</v>
      </c>
      <c r="F15" s="7">
        <v>33</v>
      </c>
      <c r="G15" s="7">
        <v>34</v>
      </c>
      <c r="H15" s="7">
        <v>35</v>
      </c>
      <c r="I15" s="7">
        <v>36</v>
      </c>
    </row>
    <row r="16" spans="2:27" s="3" customFormat="1" ht="18" customHeight="1">
      <c r="B16" s="129" t="s">
        <v>53</v>
      </c>
      <c r="C16" s="135" t="s">
        <v>54</v>
      </c>
      <c r="D16" s="147" t="s">
        <v>55</v>
      </c>
      <c r="E16" s="133" t="s">
        <v>57</v>
      </c>
      <c r="F16" s="133" t="s">
        <v>59</v>
      </c>
      <c r="G16" s="133" t="s">
        <v>61</v>
      </c>
      <c r="H16" s="133" t="s">
        <v>62</v>
      </c>
      <c r="I16" s="133" t="s">
        <v>63</v>
      </c>
      <c r="J16">
        <f>$E$11</f>
        <v>0</v>
      </c>
      <c r="K16">
        <f>$E$11</f>
        <v>0</v>
      </c>
      <c r="L16">
        <f>$G$11</f>
        <v>0</v>
      </c>
      <c r="M16">
        <f>$G$11</f>
        <v>0</v>
      </c>
      <c r="N16">
        <f>$I$11</f>
        <v>0</v>
      </c>
      <c r="O16">
        <f>$I$11</f>
        <v>0</v>
      </c>
      <c r="P16">
        <f>$I$11</f>
        <v>0</v>
      </c>
      <c r="Q16">
        <f>$I$11</f>
        <v>0</v>
      </c>
      <c r="R16"/>
      <c r="S16"/>
      <c r="T16" s="6"/>
      <c r="U16" s="6"/>
      <c r="V16" s="6"/>
      <c r="W16" s="6"/>
      <c r="X16" s="6"/>
      <c r="Y16" s="6"/>
      <c r="Z16" s="6"/>
      <c r="AA16" s="6"/>
    </row>
    <row r="17" spans="1:27" s="3" customFormat="1" ht="18" customHeight="1">
      <c r="B17" s="129"/>
      <c r="C17" s="136"/>
      <c r="D17" s="147"/>
      <c r="E17" s="133"/>
      <c r="F17" s="133"/>
      <c r="G17" s="133"/>
      <c r="H17" s="133"/>
      <c r="I17" s="133"/>
      <c r="J17" s="132" t="s">
        <v>117</v>
      </c>
      <c r="K17" s="132" t="s">
        <v>116</v>
      </c>
      <c r="L17" s="132" t="s">
        <v>117</v>
      </c>
      <c r="M17" s="132" t="s">
        <v>116</v>
      </c>
      <c r="N17" s="132" t="s">
        <v>117</v>
      </c>
      <c r="O17" s="132" t="s">
        <v>116</v>
      </c>
      <c r="P17" s="132" t="s">
        <v>117</v>
      </c>
      <c r="Q17" s="132" t="s">
        <v>116</v>
      </c>
      <c r="R17" s="132" t="s">
        <v>117</v>
      </c>
      <c r="S17" s="132" t="s">
        <v>116</v>
      </c>
      <c r="T17" s="6"/>
      <c r="U17" s="6"/>
      <c r="V17" s="6"/>
      <c r="W17" s="6"/>
      <c r="X17" s="6"/>
      <c r="Y17" s="6"/>
      <c r="Z17" s="6"/>
      <c r="AA17" s="6"/>
    </row>
    <row r="18" spans="1:27" s="3" customFormat="1" ht="18" customHeight="1">
      <c r="B18" s="129"/>
      <c r="C18" s="137"/>
      <c r="D18" s="147"/>
      <c r="E18" s="133"/>
      <c r="F18" s="133"/>
      <c r="G18" s="133"/>
      <c r="H18" s="133"/>
      <c r="I18" s="133"/>
      <c r="J18" s="132"/>
      <c r="K18" s="132"/>
      <c r="L18" s="132"/>
      <c r="M18" s="132"/>
      <c r="N18" s="132"/>
      <c r="O18" s="132"/>
      <c r="P18" s="132"/>
      <c r="Q18" s="132"/>
      <c r="R18" s="132"/>
      <c r="S18" s="132"/>
      <c r="T18" s="6"/>
      <c r="U18" s="6"/>
      <c r="V18" s="6"/>
      <c r="W18" s="6"/>
      <c r="X18" s="6"/>
      <c r="Y18" s="6"/>
      <c r="Z18" s="6"/>
      <c r="AA18" s="6"/>
    </row>
    <row r="19" spans="1:27" s="1" customFormat="1" ht="18" customHeight="1" thickBot="1">
      <c r="B19" s="19" t="s">
        <v>56</v>
      </c>
      <c r="C19" s="20" t="s">
        <v>10</v>
      </c>
      <c r="D19" s="45" t="s">
        <v>8</v>
      </c>
      <c r="E19" s="21" t="s">
        <v>58</v>
      </c>
      <c r="F19" s="21" t="s">
        <v>60</v>
      </c>
      <c r="G19" s="21" t="s">
        <v>11</v>
      </c>
      <c r="H19" s="21" t="s">
        <v>29</v>
      </c>
      <c r="I19" s="21" t="s">
        <v>64</v>
      </c>
      <c r="J19" s="132"/>
      <c r="K19" s="132"/>
      <c r="L19" s="132"/>
      <c r="M19" s="132"/>
      <c r="N19" s="132"/>
      <c r="O19" s="132"/>
      <c r="P19" s="132"/>
      <c r="Q19" s="132"/>
      <c r="R19" s="132"/>
      <c r="S19" s="132"/>
      <c r="T19"/>
      <c r="U19"/>
      <c r="V19"/>
      <c r="W19"/>
      <c r="X19"/>
      <c r="Y19"/>
      <c r="Z19"/>
      <c r="AA19"/>
    </row>
    <row r="20" spans="1:27" ht="18" customHeight="1">
      <c r="B20" s="15"/>
      <c r="C20" s="16"/>
      <c r="D20" s="32"/>
      <c r="E20" s="17"/>
      <c r="F20" s="17"/>
      <c r="G20" s="17"/>
      <c r="H20" s="17"/>
      <c r="I20" s="17"/>
      <c r="J20" s="1"/>
      <c r="K20" s="1"/>
      <c r="L20" s="1"/>
      <c r="M20" s="1"/>
      <c r="N20" s="1"/>
      <c r="O20" s="1"/>
      <c r="P20" s="1"/>
      <c r="Q20" s="1"/>
      <c r="R20" s="1"/>
      <c r="S20" s="1"/>
    </row>
    <row r="21" spans="1:27" s="6" customFormat="1" ht="27" customHeight="1">
      <c r="A21" s="23" t="s">
        <v>112</v>
      </c>
      <c r="B21" s="71">
        <v>267803</v>
      </c>
      <c r="C21" s="41">
        <v>92949887</v>
      </c>
      <c r="D21" s="88">
        <v>624453</v>
      </c>
      <c r="E21" s="50">
        <f>B21/D21</f>
        <v>0.42886013839312165</v>
      </c>
      <c r="F21" s="52">
        <f>B21/'General Statistical Data'!H16</f>
        <v>11.275915789473684</v>
      </c>
      <c r="G21" s="51">
        <f>C21/D21</f>
        <v>148.85009280121963</v>
      </c>
      <c r="H21" s="12">
        <f>C21/'General Statistical Data'!H16</f>
        <v>3913.6794526315789</v>
      </c>
      <c r="I21" s="52">
        <f>C21*100/(B21*1000/3.6)</f>
        <v>124.94990466873037</v>
      </c>
      <c r="J21" s="109">
        <f>$E$25</f>
        <v>3.0154546794921244</v>
      </c>
      <c r="K21" s="109">
        <f>$E$26</f>
        <v>0.42886013839312165</v>
      </c>
      <c r="L21" s="109">
        <f>$F$25</f>
        <v>6.4304031821432366</v>
      </c>
      <c r="M21" s="109">
        <f>$F$26</f>
        <v>6.7431069437404965</v>
      </c>
      <c r="N21" s="109">
        <f>$G$25</f>
        <v>196.96585931223657</v>
      </c>
      <c r="O21" s="109">
        <f>$G$26</f>
        <v>148.85009280121963</v>
      </c>
      <c r="P21" s="109">
        <f>$H$25</f>
        <v>2151.8373131163248</v>
      </c>
      <c r="Q21" s="109">
        <f>$H$26</f>
        <v>2494.3502787633047</v>
      </c>
      <c r="R21" s="109">
        <f>$I$25</f>
        <v>90.518099078951934</v>
      </c>
      <c r="S21" s="109">
        <f>$I$26</f>
        <v>124.94990466873037</v>
      </c>
      <c r="T21"/>
      <c r="U21"/>
      <c r="V21"/>
      <c r="W21"/>
      <c r="X21"/>
      <c r="Y21"/>
      <c r="Z21"/>
      <c r="AA21"/>
    </row>
    <row r="22" spans="1:27" s="87" customFormat="1" ht="27" customHeight="1">
      <c r="A22" s="23" t="s">
        <v>114</v>
      </c>
      <c r="B22" s="71">
        <v>266083</v>
      </c>
      <c r="C22" s="41">
        <v>98427062</v>
      </c>
      <c r="D22" s="25">
        <v>734932</v>
      </c>
      <c r="E22" s="50">
        <f t="shared" ref="E22" si="0">B22/D22</f>
        <v>0.36205118296658739</v>
      </c>
      <c r="F22" s="52">
        <f>B22/'General Statistical Data'!H17</f>
        <v>6.7431069437404965</v>
      </c>
      <c r="G22" s="51">
        <f t="shared" ref="G22:G23" si="1">C22/D22</f>
        <v>133.92676057104603</v>
      </c>
      <c r="H22" s="12">
        <f>C22/'General Statistical Data'!H17</f>
        <v>2494.3502787633047</v>
      </c>
      <c r="I22" s="52">
        <f t="shared" ref="I22:I23" si="2">C22*100/(B22*1000/3.6)</f>
        <v>133.16800517131873</v>
      </c>
      <c r="J22" s="109">
        <f t="shared" ref="J22:J23" si="3">$E$25</f>
        <v>3.0154546794921244</v>
      </c>
      <c r="K22" s="109">
        <f t="shared" ref="K22:K23" si="4">$E$26</f>
        <v>0.42886013839312165</v>
      </c>
      <c r="L22" s="109">
        <f t="shared" ref="L22:L23" si="5">$F$25</f>
        <v>6.4304031821432366</v>
      </c>
      <c r="M22" s="109">
        <f t="shared" ref="M22:M23" si="6">$F$26</f>
        <v>6.7431069437404965</v>
      </c>
      <c r="N22" s="109">
        <f t="shared" ref="N22:N23" si="7">$G$25</f>
        <v>196.96585931223657</v>
      </c>
      <c r="O22" s="109">
        <f t="shared" ref="O22:O23" si="8">$G$26</f>
        <v>148.85009280121963</v>
      </c>
      <c r="P22" s="109">
        <f t="shared" ref="P22:P23" si="9">$H$25</f>
        <v>2151.8373131163248</v>
      </c>
      <c r="Q22" s="109">
        <f t="shared" ref="Q22" si="10">$H$26</f>
        <v>2494.3502787633047</v>
      </c>
      <c r="R22" s="109">
        <f t="shared" ref="R22:R23" si="11">$I$25</f>
        <v>90.518099078951934</v>
      </c>
      <c r="S22" s="109">
        <f t="shared" ref="S22:S23" si="12">$I$26</f>
        <v>124.94990466873037</v>
      </c>
      <c r="T22"/>
      <c r="U22"/>
      <c r="V22"/>
      <c r="W22"/>
      <c r="X22"/>
      <c r="Y22"/>
      <c r="Z22"/>
      <c r="AA22"/>
    </row>
    <row r="23" spans="1:27" s="87" customFormat="1" ht="27" customHeight="1">
      <c r="A23" s="23" t="s">
        <v>115</v>
      </c>
      <c r="B23" s="71">
        <v>973658</v>
      </c>
      <c r="C23" s="41">
        <v>36340128</v>
      </c>
      <c r="D23" s="25">
        <v>117941.2</v>
      </c>
      <c r="E23" s="50">
        <f>B23/D23</f>
        <v>8.2554527171166647</v>
      </c>
      <c r="F23" s="52">
        <f>B23/'General Statistical Data'!H18</f>
        <v>1.2721868132155298</v>
      </c>
      <c r="G23" s="51">
        <f t="shared" si="1"/>
        <v>308.120724564444</v>
      </c>
      <c r="H23" s="12">
        <f>C23/'General Statistical Data'!H18</f>
        <v>47.482207954091109</v>
      </c>
      <c r="I23" s="52">
        <f t="shared" si="2"/>
        <v>13.436387396806683</v>
      </c>
      <c r="J23" s="109">
        <f t="shared" si="3"/>
        <v>3.0154546794921244</v>
      </c>
      <c r="K23" s="109">
        <f t="shared" si="4"/>
        <v>0.42886013839312165</v>
      </c>
      <c r="L23" s="109">
        <f t="shared" si="5"/>
        <v>6.4304031821432366</v>
      </c>
      <c r="M23" s="109">
        <f t="shared" si="6"/>
        <v>6.7431069437404965</v>
      </c>
      <c r="N23" s="109">
        <f t="shared" si="7"/>
        <v>196.96585931223657</v>
      </c>
      <c r="O23" s="109">
        <f t="shared" si="8"/>
        <v>148.85009280121963</v>
      </c>
      <c r="P23" s="109">
        <f t="shared" si="9"/>
        <v>2151.8373131163248</v>
      </c>
      <c r="Q23" s="109">
        <f>$H$26</f>
        <v>2494.3502787633047</v>
      </c>
      <c r="R23" s="109">
        <f t="shared" si="11"/>
        <v>90.518099078951934</v>
      </c>
      <c r="S23" s="109">
        <f t="shared" si="12"/>
        <v>124.94990466873037</v>
      </c>
      <c r="T23"/>
      <c r="U23"/>
      <c r="V23"/>
      <c r="W23"/>
      <c r="X23"/>
      <c r="Y23"/>
      <c r="Z23"/>
      <c r="AA23"/>
    </row>
    <row r="24" spans="1:27" ht="18" customHeight="1">
      <c r="B24" s="13"/>
      <c r="C24" s="9"/>
      <c r="D24" s="46"/>
      <c r="E24" s="50"/>
      <c r="F24" s="52"/>
      <c r="G24" s="51"/>
      <c r="H24" s="12"/>
      <c r="I24" s="52"/>
      <c r="R24" s="106"/>
      <c r="S24" s="106"/>
    </row>
    <row r="25" spans="1:27" ht="18" customHeight="1">
      <c r="A25" s="94" t="s">
        <v>117</v>
      </c>
      <c r="B25" s="95">
        <f t="shared" ref="B25:I25" si="13">AVERAGE(B21:B24)</f>
        <v>502514.66666666669</v>
      </c>
      <c r="C25" s="95">
        <f t="shared" si="13"/>
        <v>75905692.333333328</v>
      </c>
      <c r="D25" s="95">
        <f t="shared" si="13"/>
        <v>492442.06666666665</v>
      </c>
      <c r="E25" s="107">
        <f t="shared" si="13"/>
        <v>3.0154546794921244</v>
      </c>
      <c r="F25" s="107">
        <f t="shared" si="13"/>
        <v>6.4304031821432366</v>
      </c>
      <c r="G25" s="107">
        <f t="shared" si="13"/>
        <v>196.96585931223657</v>
      </c>
      <c r="H25" s="107">
        <f t="shared" si="13"/>
        <v>2151.8373131163248</v>
      </c>
      <c r="I25" s="107">
        <f t="shared" si="13"/>
        <v>90.518099078951934</v>
      </c>
    </row>
    <row r="26" spans="1:27" ht="18" customHeight="1">
      <c r="A26" s="96" t="s">
        <v>116</v>
      </c>
      <c r="B26" s="97">
        <f t="shared" ref="B26:H26" si="14">MEDIAN(B21:B24)</f>
        <v>267803</v>
      </c>
      <c r="C26" s="97">
        <f t="shared" si="14"/>
        <v>92949887</v>
      </c>
      <c r="D26" s="97">
        <f t="shared" si="14"/>
        <v>624453</v>
      </c>
      <c r="E26" s="108">
        <f>MEDIAN(E21:E24)</f>
        <v>0.42886013839312165</v>
      </c>
      <c r="F26" s="108">
        <f t="shared" si="14"/>
        <v>6.7431069437404965</v>
      </c>
      <c r="G26" s="108">
        <f t="shared" si="14"/>
        <v>148.85009280121963</v>
      </c>
      <c r="H26" s="108">
        <f t="shared" si="14"/>
        <v>2494.3502787633047</v>
      </c>
      <c r="I26" s="108">
        <f t="shared" ref="I26" si="15">MEDIAN(I21:I24)</f>
        <v>124.94990466873037</v>
      </c>
    </row>
    <row r="27" spans="1:27" ht="27" customHeight="1" thickBot="1">
      <c r="B27" s="70">
        <f>1238156/7</f>
        <v>176879.42857142858</v>
      </c>
      <c r="C27" s="43">
        <f>129733812/7</f>
        <v>18533401.714285713</v>
      </c>
      <c r="D27" s="29">
        <f>2953829/7</f>
        <v>421975.57142857142</v>
      </c>
      <c r="E27" s="65">
        <f>B27/D27</f>
        <v>0.41916983007479447</v>
      </c>
      <c r="F27" s="66">
        <f>B27/'General Statistical Data'!H22</f>
        <v>8.3465189020115407</v>
      </c>
      <c r="G27" s="67">
        <f>C27/D27</f>
        <v>43.920555996978834</v>
      </c>
      <c r="H27" s="68">
        <f>C27/'General Statistical Data'!H22</f>
        <v>874.54707976055647</v>
      </c>
      <c r="I27" s="66">
        <f>C27*100/(B27*1000/3.6)</f>
        <v>37.720749501678299</v>
      </c>
    </row>
  </sheetData>
  <protectedRanges>
    <protectedRange sqref="B21:D21" name="Range1"/>
    <protectedRange sqref="B22:D22" name="Range1_1"/>
    <protectedRange sqref="B23:D23" name="Range1_2"/>
    <protectedRange sqref="A21" name="Range1_3"/>
    <protectedRange sqref="A22" name="Range1_1_1"/>
    <protectedRange sqref="A23" name="Range1_2_1"/>
  </protectedRanges>
  <mergeCells count="28">
    <mergeCell ref="O17:O19"/>
    <mergeCell ref="P17:P19"/>
    <mergeCell ref="Q17:Q19"/>
    <mergeCell ref="R17:R19"/>
    <mergeCell ref="S17:S19"/>
    <mergeCell ref="J17:J19"/>
    <mergeCell ref="K17:K19"/>
    <mergeCell ref="L17:L19"/>
    <mergeCell ref="M17:M19"/>
    <mergeCell ref="N17:N19"/>
    <mergeCell ref="B1:I1"/>
    <mergeCell ref="C3:C12"/>
    <mergeCell ref="D3:D12"/>
    <mergeCell ref="E3:E12"/>
    <mergeCell ref="F3:F12"/>
    <mergeCell ref="G3:G12"/>
    <mergeCell ref="H3:H12"/>
    <mergeCell ref="I3:I12"/>
    <mergeCell ref="B3:B12"/>
    <mergeCell ref="B14:I14"/>
    <mergeCell ref="B16:B18"/>
    <mergeCell ref="C16:C18"/>
    <mergeCell ref="D16:D18"/>
    <mergeCell ref="E16:E18"/>
    <mergeCell ref="F16:F18"/>
    <mergeCell ref="G16:G18"/>
    <mergeCell ref="H16:H18"/>
    <mergeCell ref="I16:I18"/>
  </mergeCells>
  <phoneticPr fontId="3" type="noConversion"/>
  <pageMargins left="0.75" right="0.75" top="1" bottom="1" header="0.5" footer="0.5"/>
  <pageSetup paperSize="9" orientation="landscape" horizontalDpi="4294967293" verticalDpi="0"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28"/>
  <sheetViews>
    <sheetView topLeftCell="F19" workbookViewId="0">
      <selection activeCell="U19" sqref="I1:U1048576"/>
    </sheetView>
  </sheetViews>
  <sheetFormatPr baseColWidth="10" defaultColWidth="14.6640625" defaultRowHeight="18" customHeight="1"/>
  <sheetData>
    <row r="1" spans="2:22" ht="18" customHeight="1">
      <c r="B1" s="119">
        <f>+'General Statistical Data'!A1:I1</f>
        <v>0</v>
      </c>
      <c r="C1" s="119"/>
      <c r="D1" s="119"/>
      <c r="E1" s="119"/>
      <c r="F1" s="119"/>
      <c r="G1" s="119"/>
      <c r="H1" s="119"/>
    </row>
    <row r="3" spans="2:22" ht="18" customHeight="1">
      <c r="B3" s="128" t="s">
        <v>85</v>
      </c>
      <c r="C3" s="128" t="s">
        <v>15</v>
      </c>
      <c r="D3" s="128" t="s">
        <v>76</v>
      </c>
      <c r="E3" s="128" t="s">
        <v>19</v>
      </c>
      <c r="F3" s="128" t="s">
        <v>86</v>
      </c>
      <c r="G3" s="128" t="s">
        <v>19</v>
      </c>
      <c r="H3" s="128" t="s">
        <v>19</v>
      </c>
      <c r="I3" s="53"/>
      <c r="J3" s="53"/>
      <c r="K3" s="53"/>
      <c r="L3" s="53"/>
      <c r="M3" s="53"/>
      <c r="N3" s="53"/>
      <c r="O3" s="53"/>
      <c r="P3" s="53"/>
      <c r="Q3" s="53"/>
      <c r="R3" s="53"/>
      <c r="S3" s="53"/>
      <c r="T3" s="53"/>
      <c r="U3" s="53"/>
      <c r="V3" s="53"/>
    </row>
    <row r="4" spans="2:22" ht="18" customHeight="1">
      <c r="B4" s="128"/>
      <c r="C4" s="128"/>
      <c r="D4" s="128"/>
      <c r="E4" s="128"/>
      <c r="F4" s="128"/>
      <c r="G4" s="128"/>
      <c r="H4" s="128"/>
      <c r="I4" s="53"/>
      <c r="J4" s="53"/>
      <c r="K4" s="53"/>
      <c r="L4" s="53"/>
      <c r="M4" s="53"/>
      <c r="N4" s="53"/>
      <c r="O4" s="53"/>
      <c r="P4" s="53"/>
      <c r="Q4" s="53"/>
      <c r="R4" s="53"/>
      <c r="S4" s="53"/>
      <c r="T4" s="53"/>
      <c r="U4" s="53"/>
      <c r="V4" s="53"/>
    </row>
    <row r="5" spans="2:22" ht="18" customHeight="1">
      <c r="B5" s="128"/>
      <c r="C5" s="128"/>
      <c r="D5" s="128"/>
      <c r="E5" s="128"/>
      <c r="F5" s="128"/>
      <c r="G5" s="128"/>
      <c r="H5" s="128"/>
      <c r="I5" s="53"/>
      <c r="J5" s="53"/>
      <c r="K5" s="53"/>
      <c r="L5" s="53"/>
      <c r="M5" s="53"/>
      <c r="N5" s="53"/>
      <c r="O5" s="53"/>
      <c r="P5" s="53"/>
      <c r="Q5" s="53"/>
      <c r="R5" s="53"/>
      <c r="S5" s="53"/>
      <c r="T5" s="53"/>
      <c r="U5" s="53"/>
      <c r="V5" s="53"/>
    </row>
    <row r="6" spans="2:22" ht="18" customHeight="1">
      <c r="B6" s="128"/>
      <c r="C6" s="128"/>
      <c r="D6" s="128"/>
      <c r="E6" s="128"/>
      <c r="F6" s="128"/>
      <c r="G6" s="128"/>
      <c r="H6" s="128"/>
      <c r="I6" s="53"/>
      <c r="J6" s="53"/>
      <c r="K6" s="53"/>
      <c r="L6" s="53"/>
      <c r="M6" s="53"/>
      <c r="N6" s="53"/>
      <c r="O6" s="53"/>
      <c r="P6" s="53"/>
      <c r="Q6" s="53"/>
      <c r="R6" s="53"/>
      <c r="S6" s="53"/>
      <c r="T6" s="53"/>
      <c r="U6" s="53"/>
      <c r="V6" s="53"/>
    </row>
    <row r="7" spans="2:22" ht="18" customHeight="1">
      <c r="B7" s="128"/>
      <c r="C7" s="128"/>
      <c r="D7" s="128"/>
      <c r="E7" s="128"/>
      <c r="F7" s="128"/>
      <c r="G7" s="128"/>
      <c r="H7" s="128"/>
      <c r="I7" s="53"/>
      <c r="J7" s="53"/>
      <c r="K7" s="53"/>
      <c r="L7" s="53"/>
      <c r="M7" s="53"/>
      <c r="N7" s="53"/>
      <c r="O7" s="53"/>
      <c r="P7" s="53"/>
      <c r="Q7" s="53"/>
      <c r="R7" s="53"/>
      <c r="S7" s="53"/>
      <c r="T7" s="53"/>
      <c r="U7" s="53"/>
      <c r="V7" s="53"/>
    </row>
    <row r="8" spans="2:22" ht="18" customHeight="1">
      <c r="B8" s="128"/>
      <c r="C8" s="128"/>
      <c r="D8" s="128"/>
      <c r="E8" s="128"/>
      <c r="F8" s="128"/>
      <c r="G8" s="128"/>
      <c r="H8" s="128"/>
    </row>
    <row r="9" spans="2:22" ht="18" customHeight="1">
      <c r="B9" s="128"/>
      <c r="C9" s="128"/>
      <c r="D9" s="128"/>
      <c r="E9" s="128"/>
      <c r="F9" s="128"/>
      <c r="G9" s="128"/>
      <c r="H9" s="128"/>
    </row>
    <row r="10" spans="2:22" ht="18" customHeight="1">
      <c r="B10" s="128"/>
      <c r="C10" s="128"/>
      <c r="D10" s="128"/>
      <c r="E10" s="128"/>
      <c r="F10" s="128"/>
      <c r="G10" s="128"/>
      <c r="H10" s="128"/>
    </row>
    <row r="11" spans="2:22" ht="18" customHeight="1">
      <c r="B11" s="128"/>
      <c r="C11" s="128"/>
      <c r="D11" s="128"/>
      <c r="E11" s="128"/>
      <c r="F11" s="128"/>
      <c r="G11" s="128"/>
      <c r="H11" s="128"/>
      <c r="O11" s="3"/>
      <c r="P11" s="3"/>
      <c r="Q11" s="3"/>
      <c r="R11" s="3"/>
      <c r="S11" s="3"/>
      <c r="T11" s="3"/>
      <c r="U11" s="3"/>
      <c r="V11" s="3"/>
    </row>
    <row r="12" spans="2:22" ht="18" customHeight="1">
      <c r="B12" s="128"/>
      <c r="C12" s="128"/>
      <c r="D12" s="128"/>
      <c r="E12" s="128"/>
      <c r="F12" s="128"/>
      <c r="G12" s="128"/>
      <c r="H12" s="128"/>
      <c r="O12" s="3"/>
      <c r="P12" s="3"/>
      <c r="Q12" s="3"/>
      <c r="R12" s="3"/>
      <c r="S12" s="3"/>
      <c r="T12" s="3"/>
      <c r="U12" s="3"/>
      <c r="V12" s="3"/>
    </row>
    <row r="13" spans="2:22" ht="18" customHeight="1">
      <c r="B13" s="128"/>
      <c r="C13" s="128"/>
      <c r="D13" s="128"/>
      <c r="E13" s="128"/>
      <c r="F13" s="128"/>
      <c r="G13" s="128"/>
      <c r="H13" s="128"/>
      <c r="O13" s="3"/>
      <c r="P13" s="3"/>
      <c r="Q13" s="3"/>
      <c r="R13" s="3"/>
      <c r="S13" s="3"/>
      <c r="T13" s="3"/>
      <c r="U13" s="3"/>
      <c r="V13" s="3"/>
    </row>
    <row r="14" spans="2:22" ht="18" customHeight="1">
      <c r="B14" s="128"/>
      <c r="C14" s="128"/>
      <c r="D14" s="128"/>
      <c r="E14" s="128"/>
      <c r="F14" s="128"/>
      <c r="G14" s="128"/>
      <c r="H14" s="128"/>
      <c r="O14" s="1"/>
      <c r="P14" s="1"/>
      <c r="Q14" s="1"/>
      <c r="R14" s="1"/>
      <c r="S14" s="1"/>
      <c r="T14" s="1"/>
      <c r="U14" s="1"/>
      <c r="V14" s="1"/>
    </row>
    <row r="15" spans="2:22" ht="18" customHeight="1">
      <c r="B15" s="151" t="s">
        <v>44</v>
      </c>
      <c r="C15" s="152"/>
      <c r="D15" s="152"/>
      <c r="E15" s="152"/>
      <c r="F15" s="152"/>
      <c r="G15" s="152"/>
      <c r="H15" s="153"/>
    </row>
    <row r="16" spans="2:22" ht="18" customHeight="1">
      <c r="B16" s="5">
        <v>37</v>
      </c>
      <c r="C16" s="4">
        <v>38</v>
      </c>
      <c r="D16" s="4">
        <v>39</v>
      </c>
      <c r="E16" s="7">
        <v>40</v>
      </c>
      <c r="F16" s="4">
        <v>41</v>
      </c>
      <c r="G16" s="7">
        <v>42</v>
      </c>
      <c r="H16" s="7">
        <v>43</v>
      </c>
      <c r="I16">
        <f>$E$11</f>
        <v>0</v>
      </c>
      <c r="J16">
        <f>$E$11</f>
        <v>0</v>
      </c>
      <c r="K16">
        <f>$G$11</f>
        <v>0</v>
      </c>
      <c r="L16">
        <f>$G$11</f>
        <v>0</v>
      </c>
      <c r="M16" t="str">
        <f>$I$17</f>
        <v>Mean</v>
      </c>
      <c r="N16" t="str">
        <f>$I$17</f>
        <v>Mean</v>
      </c>
      <c r="O16" s="6"/>
      <c r="P16" s="6"/>
      <c r="Q16" s="6"/>
      <c r="R16" s="6"/>
      <c r="S16" s="6"/>
      <c r="T16" s="6"/>
      <c r="U16" s="6"/>
      <c r="V16" s="6"/>
    </row>
    <row r="17" spans="1:22" s="3" customFormat="1" ht="18" customHeight="1">
      <c r="B17" s="129" t="s">
        <v>41</v>
      </c>
      <c r="C17" s="135" t="s">
        <v>46</v>
      </c>
      <c r="D17" s="131" t="s">
        <v>47</v>
      </c>
      <c r="E17" s="138" t="s">
        <v>48</v>
      </c>
      <c r="F17" s="131" t="s">
        <v>49</v>
      </c>
      <c r="G17" s="133" t="s">
        <v>50</v>
      </c>
      <c r="H17" s="133" t="s">
        <v>51</v>
      </c>
      <c r="I17" s="132" t="s">
        <v>117</v>
      </c>
      <c r="J17" s="132" t="s">
        <v>116</v>
      </c>
      <c r="K17" s="132" t="s">
        <v>117</v>
      </c>
      <c r="L17" s="132" t="s">
        <v>116</v>
      </c>
      <c r="M17" s="132" t="s">
        <v>117</v>
      </c>
      <c r="N17" s="132" t="s">
        <v>116</v>
      </c>
      <c r="O17" s="6"/>
      <c r="P17" s="6"/>
      <c r="Q17" s="6"/>
      <c r="R17" s="6"/>
      <c r="S17" s="6"/>
      <c r="T17" s="6"/>
      <c r="U17" s="6"/>
      <c r="V17" s="6"/>
    </row>
    <row r="18" spans="1:22" s="3" customFormat="1" ht="18" customHeight="1">
      <c r="B18" s="129"/>
      <c r="C18" s="136"/>
      <c r="D18" s="131"/>
      <c r="E18" s="139"/>
      <c r="F18" s="131"/>
      <c r="G18" s="133"/>
      <c r="H18" s="133"/>
      <c r="I18" s="132"/>
      <c r="J18" s="132"/>
      <c r="K18" s="132"/>
      <c r="L18" s="132"/>
      <c r="M18" s="132"/>
      <c r="N18" s="132"/>
      <c r="O18" s="6"/>
      <c r="P18" s="6"/>
      <c r="Q18" s="6"/>
      <c r="R18" s="6"/>
      <c r="S18" s="6"/>
      <c r="T18" s="6"/>
      <c r="U18" s="6"/>
      <c r="V18" s="6"/>
    </row>
    <row r="19" spans="1:22" s="3" customFormat="1" ht="18" customHeight="1">
      <c r="B19" s="129"/>
      <c r="C19" s="137"/>
      <c r="D19" s="131"/>
      <c r="E19" s="140"/>
      <c r="F19" s="131"/>
      <c r="G19" s="133"/>
      <c r="H19" s="133"/>
      <c r="I19" s="132"/>
      <c r="J19" s="132"/>
      <c r="K19" s="132"/>
      <c r="L19" s="132"/>
      <c r="M19" s="132"/>
      <c r="N19" s="132"/>
      <c r="O19"/>
      <c r="P19"/>
      <c r="Q19"/>
      <c r="R19"/>
      <c r="S19"/>
      <c r="T19"/>
      <c r="U19"/>
      <c r="V19"/>
    </row>
    <row r="20" spans="1:22" s="1" customFormat="1" ht="18" customHeight="1" thickBot="1">
      <c r="B20" s="19" t="s">
        <v>10</v>
      </c>
      <c r="C20" s="20" t="s">
        <v>10</v>
      </c>
      <c r="D20" s="20" t="s">
        <v>10</v>
      </c>
      <c r="E20" s="21" t="s">
        <v>10</v>
      </c>
      <c r="F20" s="45" t="s">
        <v>8</v>
      </c>
      <c r="G20" s="21" t="s">
        <v>11</v>
      </c>
      <c r="H20" s="21" t="s">
        <v>29</v>
      </c>
      <c r="O20"/>
      <c r="P20"/>
      <c r="Q20"/>
      <c r="R20"/>
      <c r="S20"/>
      <c r="T20"/>
      <c r="U20"/>
      <c r="V20"/>
    </row>
    <row r="21" spans="1:22" ht="18" customHeight="1">
      <c r="B21" s="15"/>
      <c r="C21" s="16"/>
      <c r="D21" s="16"/>
      <c r="E21" s="17"/>
      <c r="F21" s="16"/>
      <c r="G21" s="17"/>
      <c r="H21" s="17"/>
    </row>
    <row r="22" spans="1:22" s="6" customFormat="1" ht="27" customHeight="1">
      <c r="A22" s="23" t="s">
        <v>112</v>
      </c>
      <c r="B22" s="40">
        <v>15187347</v>
      </c>
      <c r="C22" s="41">
        <v>17352271</v>
      </c>
      <c r="D22" s="26">
        <v>25664103</v>
      </c>
      <c r="E22" s="36">
        <f>SUM(B22:D22)</f>
        <v>58203721</v>
      </c>
      <c r="F22" s="25">
        <v>10169271</v>
      </c>
      <c r="G22" s="36">
        <f>E22/F22</f>
        <v>5.7234900122142482</v>
      </c>
      <c r="H22" s="36">
        <f>E22/'General Statistical Data'!H16</f>
        <v>2450.6829894736843</v>
      </c>
      <c r="I22" s="109">
        <f>$G$26</f>
        <v>62.976589780861794</v>
      </c>
      <c r="J22" s="109">
        <f>$G$27</f>
        <v>62.976589780861801</v>
      </c>
      <c r="K22" s="109">
        <f>$H$26</f>
        <v>1563.309655048417</v>
      </c>
      <c r="L22" s="109">
        <f>$H$27</f>
        <v>2239.2459756715662</v>
      </c>
      <c r="M22" s="102" t="e">
        <f>#REF!</f>
        <v>#REF!</v>
      </c>
      <c r="N22" s="102" t="e">
        <f>#REF!</f>
        <v>#REF!</v>
      </c>
      <c r="O22"/>
      <c r="P22"/>
      <c r="Q22"/>
      <c r="R22"/>
      <c r="S22"/>
      <c r="T22"/>
      <c r="U22"/>
      <c r="V22"/>
    </row>
    <row r="23" spans="1:22" s="87" customFormat="1" ht="27" customHeight="1">
      <c r="A23" s="23" t="s">
        <v>114</v>
      </c>
      <c r="B23" s="40">
        <f>9452783.79+28850765.49+683486.21</f>
        <v>38987035.490000002</v>
      </c>
      <c r="C23" s="41">
        <v>47983171.850000001</v>
      </c>
      <c r="D23" s="26">
        <f>1364134.57+26304.29</f>
        <v>1390438.86</v>
      </c>
      <c r="E23" s="36">
        <f>SUM(B23:D23)</f>
        <v>88360646.200000003</v>
      </c>
      <c r="F23" s="25">
        <v>734932</v>
      </c>
      <c r="G23" s="36">
        <f>E23/F23</f>
        <v>120.22968954950935</v>
      </c>
      <c r="H23" s="36">
        <f>E23/'General Statistical Data'!H17</f>
        <v>2239.2459756715662</v>
      </c>
      <c r="I23" s="109">
        <f t="shared" ref="I23:I24" si="0">$G$26</f>
        <v>62.976589780861794</v>
      </c>
      <c r="J23" s="109">
        <f t="shared" ref="J23:J24" si="1">$G$27</f>
        <v>62.976589780861801</v>
      </c>
      <c r="K23" s="109">
        <f t="shared" ref="K23:K24" si="2">$H$26</f>
        <v>1563.309655048417</v>
      </c>
      <c r="L23" s="109">
        <f t="shared" ref="L23:L24" si="3">$H$27</f>
        <v>2239.2459756715662</v>
      </c>
      <c r="M23" s="102" t="e">
        <f>#REF!</f>
        <v>#REF!</v>
      </c>
      <c r="N23" s="102" t="e">
        <f>#REF!</f>
        <v>#REF!</v>
      </c>
      <c r="O23"/>
      <c r="P23"/>
      <c r="Q23"/>
      <c r="R23"/>
      <c r="S23"/>
      <c r="T23"/>
      <c r="U23"/>
      <c r="V23"/>
    </row>
    <row r="24" spans="1:22" s="87" customFormat="1" ht="27" customHeight="1">
      <c r="A24" s="23" t="s">
        <v>115</v>
      </c>
      <c r="B24" s="40"/>
      <c r="C24" s="41"/>
      <c r="D24" s="26"/>
      <c r="E24" s="36">
        <f>SUM(B24:D24)</f>
        <v>0</v>
      </c>
      <c r="F24" s="25"/>
      <c r="G24" s="36"/>
      <c r="H24" s="36">
        <f>E24/'[1]General Statistical Data'!H18</f>
        <v>0</v>
      </c>
      <c r="I24" s="109">
        <f t="shared" si="0"/>
        <v>62.976589780861794</v>
      </c>
      <c r="J24" s="109">
        <f t="shared" si="1"/>
        <v>62.976589780861801</v>
      </c>
      <c r="K24" s="109">
        <f t="shared" si="2"/>
        <v>1563.309655048417</v>
      </c>
      <c r="L24" s="109">
        <f t="shared" si="3"/>
        <v>2239.2459756715662</v>
      </c>
      <c r="M24" s="102" t="e">
        <f>#REF!</f>
        <v>#REF!</v>
      </c>
      <c r="N24" s="102" t="e">
        <f>#REF!</f>
        <v>#REF!</v>
      </c>
      <c r="O24"/>
      <c r="P24"/>
      <c r="Q24"/>
      <c r="R24"/>
      <c r="S24"/>
      <c r="T24"/>
      <c r="U24"/>
      <c r="V24"/>
    </row>
    <row r="25" spans="1:22" ht="18" customHeight="1">
      <c r="B25" s="13"/>
      <c r="C25" s="9"/>
      <c r="D25" s="10"/>
      <c r="E25" s="36"/>
      <c r="F25" s="11"/>
      <c r="G25" s="36"/>
      <c r="H25" s="36"/>
    </row>
    <row r="26" spans="1:22" ht="18" customHeight="1">
      <c r="A26" s="94" t="s">
        <v>117</v>
      </c>
      <c r="B26" s="95">
        <f t="shared" ref="B26:F26" si="4">AVERAGE(B22:B25)</f>
        <v>27087191.245000001</v>
      </c>
      <c r="C26" s="95">
        <f t="shared" si="4"/>
        <v>32667721.425000001</v>
      </c>
      <c r="D26" s="95">
        <f t="shared" si="4"/>
        <v>13527270.93</v>
      </c>
      <c r="E26" s="95">
        <f t="shared" si="4"/>
        <v>48854789.066666663</v>
      </c>
      <c r="F26" s="95">
        <f t="shared" si="4"/>
        <v>5452101.5</v>
      </c>
      <c r="G26" s="95">
        <f>AVERAGE(G22:G25)</f>
        <v>62.976589780861794</v>
      </c>
      <c r="H26" s="95">
        <f t="shared" ref="H26" si="5">AVERAGE(H22:H25)</f>
        <v>1563.309655048417</v>
      </c>
    </row>
    <row r="27" spans="1:22" ht="18" customHeight="1">
      <c r="A27" s="96" t="s">
        <v>116</v>
      </c>
      <c r="B27" s="97">
        <f t="shared" ref="B27:F27" si="6">MEDIAN(B22:B25)</f>
        <v>27087191.245000001</v>
      </c>
      <c r="C27" s="97">
        <f t="shared" si="6"/>
        <v>32667721.425000001</v>
      </c>
      <c r="D27" s="97">
        <f t="shared" si="6"/>
        <v>13527270.93</v>
      </c>
      <c r="E27" s="97">
        <f t="shared" si="6"/>
        <v>58203721</v>
      </c>
      <c r="F27" s="97">
        <f t="shared" si="6"/>
        <v>5452101.5</v>
      </c>
      <c r="G27" s="97">
        <f>MEDIAN(G22:G25)</f>
        <v>62.976589780861801</v>
      </c>
      <c r="H27" s="97">
        <f t="shared" ref="H27" si="7">MEDIAN(H22:H25)</f>
        <v>2239.2459756715662</v>
      </c>
    </row>
    <row r="28" spans="1:22" ht="27" customHeight="1" thickBot="1">
      <c r="B28" s="42">
        <f>31721315/7</f>
        <v>4531616.4285714282</v>
      </c>
      <c r="C28" s="43">
        <f>106459971/7</f>
        <v>15208567.285714285</v>
      </c>
      <c r="D28" s="30">
        <f>6496488/7</f>
        <v>928069.71428571432</v>
      </c>
      <c r="E28" s="61">
        <f>SUM(B28:D28)</f>
        <v>20668253.428571425</v>
      </c>
      <c r="F28" s="29">
        <f>2742365/7</f>
        <v>391766.42857142858</v>
      </c>
      <c r="G28" s="61">
        <f>E28/F28</f>
        <v>52.756571061838947</v>
      </c>
      <c r="H28" s="61">
        <f>E28/'General Statistical Data'!H22</f>
        <v>975.28564687483129</v>
      </c>
    </row>
  </sheetData>
  <protectedRanges>
    <protectedRange sqref="F22" name="Range2"/>
    <protectedRange sqref="B22:D22" name="Range1"/>
    <protectedRange sqref="F23" name="Range2_1"/>
    <protectedRange sqref="B23:D23" name="Range1_1"/>
    <protectedRange sqref="F24" name="Range2_2"/>
    <protectedRange sqref="B24:D24" name="Range1_2"/>
    <protectedRange sqref="A22" name="Range1_3"/>
    <protectedRange sqref="A23" name="Range1_1_1"/>
    <protectedRange sqref="A24" name="Range1_2_1"/>
  </protectedRanges>
  <mergeCells count="22">
    <mergeCell ref="N17:N19"/>
    <mergeCell ref="I17:I19"/>
    <mergeCell ref="J17:J19"/>
    <mergeCell ref="K17:K19"/>
    <mergeCell ref="L17:L19"/>
    <mergeCell ref="M17:M19"/>
    <mergeCell ref="F17:F19"/>
    <mergeCell ref="G17:G19"/>
    <mergeCell ref="H17:H19"/>
    <mergeCell ref="B15:H15"/>
    <mergeCell ref="B17:B19"/>
    <mergeCell ref="C17:C19"/>
    <mergeCell ref="D17:D19"/>
    <mergeCell ref="E17:E19"/>
    <mergeCell ref="B1:H1"/>
    <mergeCell ref="B3:B14"/>
    <mergeCell ref="G3:G14"/>
    <mergeCell ref="H3:H14"/>
    <mergeCell ref="C3:C14"/>
    <mergeCell ref="D3:D14"/>
    <mergeCell ref="E3:E14"/>
    <mergeCell ref="F3:F14"/>
  </mergeCells>
  <phoneticPr fontId="3" type="noConversion"/>
  <pageMargins left="0.75" right="0.75" top="1" bottom="1" header="0.5" footer="0.5"/>
  <pageSetup paperSize="9" orientation="landscape" horizontalDpi="4294967293"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REPORT</vt:lpstr>
      <vt:lpstr>Building Operating Costs</vt:lpstr>
      <vt:lpstr>General Statistical Data</vt:lpstr>
      <vt:lpstr>Maintenance</vt:lpstr>
      <vt:lpstr>Cleaning and Waste</vt:lpstr>
      <vt:lpstr>Grounds Maintenance</vt:lpstr>
      <vt:lpstr>Energy</vt:lpstr>
      <vt:lpstr>Security</vt:lpstr>
    </vt:vector>
  </TitlesOfParts>
  <Company>University of Pretoria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User</dc:creator>
  <cp:lastModifiedBy>Microsoft Office User</cp:lastModifiedBy>
  <cp:lastPrinted>2007-06-24T08:19:20Z</cp:lastPrinted>
  <dcterms:created xsi:type="dcterms:W3CDTF">2007-05-01T10:02:15Z</dcterms:created>
  <dcterms:modified xsi:type="dcterms:W3CDTF">2019-05-22T07:06:19Z</dcterms:modified>
</cp:coreProperties>
</file>